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 name="Certification" sheetId="2" r:id="rId2"/>
  </sheets>
  <definedNames>
    <definedName name="_Fill" hidden="1">'Abstract of Ratables'!#REF!</definedName>
    <definedName name="_xlnm.Print_Area" localSheetId="0">'Abstract of Ratables'!$A$1:$CO$28</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<sst xmlns="http://schemas.openxmlformats.org/spreadsheetml/2006/main" count="239" uniqueCount="193">
  <si>
    <t>Land Value</t>
  </si>
  <si>
    <t>Ratables</t>
  </si>
  <si>
    <t>Budget</t>
  </si>
  <si>
    <t>Net County Taxes Apportioned</t>
  </si>
  <si>
    <t>Fiscal Year</t>
  </si>
  <si>
    <t>Health Service Tax</t>
  </si>
  <si>
    <t>County Open Space Tax</t>
  </si>
  <si>
    <t>District School Tax</t>
  </si>
  <si>
    <t>Local School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</si>
  <si>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</si>
  <si>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</si>
  <si>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</si>
  <si>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</si>
  <si>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</si>
  <si>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</si>
  <si>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</si>
  <si>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</si>
  <si>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</si>
  <si>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</si>
  <si>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</si>
  <si>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</si>
  <si>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</si>
  <si>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</si>
  <si>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Total Levy on Which Tax Rate Is Computed                                          (Col 12A5 + 12Ba + 12Bb + 12Bc + 12Cia + 12Cib + 12Cic + 12Ciia + 12Ciib + 12Ciic)</t>
  </si>
  <si>
    <t>Municipal Library Tax</t>
  </si>
  <si>
    <t>0701</t>
  </si>
  <si>
    <t>Belleville Twp</t>
  </si>
  <si>
    <t>0702</t>
  </si>
  <si>
    <t>Bloomfield Twp</t>
  </si>
  <si>
    <t>0703</t>
  </si>
  <si>
    <t>Caldwell Boro Twp</t>
  </si>
  <si>
    <t>0704</t>
  </si>
  <si>
    <t>Cedar Grove Twp</t>
  </si>
  <si>
    <t>0705</t>
  </si>
  <si>
    <t>East Orange City</t>
  </si>
  <si>
    <t>0706</t>
  </si>
  <si>
    <t>0707</t>
  </si>
  <si>
    <t>Fairfield Twp</t>
  </si>
  <si>
    <t>0708</t>
  </si>
  <si>
    <t>Glen Ridge Twp</t>
  </si>
  <si>
    <t>0709</t>
  </si>
  <si>
    <t>Irvington Twp</t>
  </si>
  <si>
    <t>0710</t>
  </si>
  <si>
    <t>Livingston Twp</t>
  </si>
  <si>
    <t>0711</t>
  </si>
  <si>
    <t>Maplewood Twp</t>
  </si>
  <si>
    <t>0712</t>
  </si>
  <si>
    <t>Millburn Twp</t>
  </si>
  <si>
    <t>0713</t>
  </si>
  <si>
    <t>Montclair Twp</t>
  </si>
  <si>
    <t>0714</t>
  </si>
  <si>
    <t>Newark City</t>
  </si>
  <si>
    <t>0715</t>
  </si>
  <si>
    <t>North Caldwell Twp</t>
  </si>
  <si>
    <t>0716</t>
  </si>
  <si>
    <t>Nutley Twp</t>
  </si>
  <si>
    <t>0717</t>
  </si>
  <si>
    <t>Orange City Twp</t>
  </si>
  <si>
    <t>0718</t>
  </si>
  <si>
    <t>Roseland Boro</t>
  </si>
  <si>
    <t>0719</t>
  </si>
  <si>
    <t>South Orange Village Twp</t>
  </si>
  <si>
    <t>0720</t>
  </si>
  <si>
    <t>Verona Twp</t>
  </si>
  <si>
    <t>0721</t>
  </si>
  <si>
    <t>West Caldwell Twp</t>
  </si>
  <si>
    <t>0722</t>
  </si>
  <si>
    <t>West Orange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</si>
  <si>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</si>
  <si>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</si>
  <si>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</si>
  <si>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</si>
  <si>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</si>
  <si>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</si>
  <si>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</si>
  <si>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</si>
  <si>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</si>
  <si>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</si>
  <si>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</si>
  <si>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</si>
  <si>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</si>
  <si>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</si>
  <si>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</si>
  <si>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</si>
  <si>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</si>
  <si>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</si>
  <si>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</si>
  <si>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</si>
  <si>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</si>
  <si>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</si>
  <si>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</si>
  <si>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</si>
  <si>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</si>
  <si>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</si>
  <si>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</si>
  <si>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</si>
  <si>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</si>
  <si>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</si>
  <si>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</si>
  <si>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</si>
  <si>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</si>
  <si>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</si>
  <si>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</si>
  <si>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</si>
  <si>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</si>
  <si>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</si>
  <si>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</si>
  <si>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</si>
  <si>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</si>
  <si>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</si>
  <si>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</si>
  <si>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</si>
  <si>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t>(10)
Dwelling Abatement
N.J.S.A. 40A:21-5</t>
  </si>
  <si>
    <t>(11)
Dwelling Exemption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</si>
  <si>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</si>
  <si>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</si>
  <si>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</si>
  <si>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</si>
  <si>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</si>
  <si>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</si>
  <si>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</si>
  <si>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</si>
  <si>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</si>
  <si>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</si>
  <si>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</si>
  <si>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</si>
  <si>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</si>
  <si>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</si>
  <si>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</si>
  <si>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</si>
  <si>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</si>
  <si>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</si>
  <si>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</si>
  <si>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(A)
Senior Citizen, Disabled and Surviving Spouse Deductions</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</si>
  <si>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</si>
  <si>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</si>
  <si>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</si>
  <si>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</si>
  <si>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</si>
  <si>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</si>
  <si>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</si>
  <si>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</si>
  <si>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</si>
  <si>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</si>
  <si>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</si>
  <si>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</si>
  <si>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</si>
  <si>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 xml:space="preserve">
(D)
Total of Miscellaneous Revenues                                                                            (Col 14A + 14B + 14C)</t>
  </si>
  <si>
    <t xml:space="preserve">
(B)
Veteran / Surviving Spouse of Veteran or Serviceperson Deductions </t>
  </si>
  <si>
    <r>
      <t xml:space="preserve">
(7)
Home Improvement
</t>
    </r>
    <r>
      <rPr>
        <sz val="8"/>
        <rFont val="Arial"/>
        <family val="2"/>
      </rPr>
      <t>Only to be used until year 2000 (Repealed) 
R.S.54:4-3.95</t>
    </r>
  </si>
  <si>
    <r>
      <t xml:space="preserve">
(8)
Multi-Family Dwelling
</t>
    </r>
    <r>
      <rPr>
        <sz val="8"/>
        <rFont val="Arial"/>
        <family val="2"/>
      </rPr>
      <t>Only to be used until year 2000 (Repealed) 
R.S.54:4-3.121</t>
    </r>
  </si>
  <si>
    <t xml:space="preserve">
Municipal Open Space Tax</t>
  </si>
  <si>
    <t xml:space="preserve">
Municipal Local Purpose  Tax</t>
  </si>
  <si>
    <t xml:space="preserve">
Reg. Consol. &amp; Joint School Tax</t>
  </si>
  <si>
    <t xml:space="preserve">Library Tax
</t>
  </si>
  <si>
    <t xml:space="preserve">County Tax
</t>
  </si>
  <si>
    <t xml:space="preserve">
(12)
New Dwl./Conv Abatement
N.J.S.A. 40A:21-5
</t>
  </si>
  <si>
    <r>
      <t xml:space="preserve">
(9)
Class 4 Abatement
</t>
    </r>
    <r>
      <rPr>
        <sz val="8"/>
        <rFont val="Arial"/>
        <family val="2"/>
      </rPr>
      <t>Only to be used until year 2000 (Repealed)
R.S.54:4-3.72</t>
    </r>
    <r>
      <rPr>
        <sz val="10"/>
        <rFont val="Arial"/>
        <family val="0"/>
      </rPr>
      <t xml:space="preserve">
</t>
    </r>
  </si>
  <si>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</si>
  <si>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</si>
  <si>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</si>
  <si>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</si>
  <si>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</si>
  <si>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</si>
  <si>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</si>
  <si>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</si>
  <si>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</si>
  <si>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</si>
  <si>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</si>
  <si>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</si>
  <si>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</si>
  <si>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</si>
  <si>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</si>
  <si>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</si>
  <si>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</si>
  <si>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Essex Fells Boro</t>
  </si>
  <si>
    <t>(14)
Mult. Dwell Exemption
N.J.S.A. 40A:21-6</t>
  </si>
  <si>
    <t>(15)
Mult. Dwell Abatement
N.J.S.A. 40A:21-6</t>
  </si>
  <si>
    <t xml:space="preserve">02: BLOOMFIELD TWP        </t>
  </si>
  <si>
    <t xml:space="preserve">SPEC. IMPROVE DIST.:S01 </t>
  </si>
  <si>
    <t xml:space="preserve">04: CEDAR GROVE TWP       </t>
  </si>
  <si>
    <t xml:space="preserve">GARBAGE DISTRICT:   G01 </t>
  </si>
  <si>
    <t xml:space="preserve">05: EAST ORANGE CITY      </t>
  </si>
  <si>
    <t>10: LIVINGSTON TWP</t>
  </si>
  <si>
    <t xml:space="preserve">SPEC. IMPROVE DIST.:S02 </t>
  </si>
  <si>
    <t xml:space="preserve">11: MAPLEWOOD TWP         </t>
  </si>
  <si>
    <t xml:space="preserve">12: MILLBURN TWP          </t>
  </si>
  <si>
    <t xml:space="preserve">13: MONTCLAIR TWP         </t>
  </si>
  <si>
    <t xml:space="preserve">14: NEWARK CITY           </t>
  </si>
  <si>
    <t xml:space="preserve">SPEC. IMPROVE DIST.:S03 </t>
  </si>
  <si>
    <t xml:space="preserve">SPEC. IMPROVE DIST.:S04 </t>
  </si>
  <si>
    <t xml:space="preserve">19: SOUTH ORANGE TWP      </t>
  </si>
  <si>
    <t xml:space="preserve">22: WEST ORANGE TWP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</si>
</sst>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3">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4"/>
      <name val="Arial"/>
      <family val="2"/>
    </font>
    <font>
      <i/>
      <sz val="14"/>
      <name val="Monotype Corsiva"/>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10" xfId="0" applyNumberFormat="1" applyFont="1" applyFill="1" applyBorder="1" applyAlignment="1">
      <alignment horizontal="right" vertical="center"/>
    </xf>
    <xf numFmtId="3" fontId="0" fillId="33" borderId="0" xfId="0" applyNumberForma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3" fontId="0" fillId="33" borderId="10" xfId="42" applyNumberFormat="1" applyFont="1" applyFill="1" applyBorder="1" applyAlignment="1">
      <alignment horizontal="right" vertical="center"/>
    </xf>
    <xf numFmtId="43" fontId="0" fillId="33" borderId="10" xfId="42" applyFont="1" applyFill="1" applyBorder="1" applyAlignment="1">
      <alignment horizontal="right" vertical="center"/>
    </xf>
    <xf numFmtId="4" fontId="0" fillId="33" borderId="10" xfId="0" applyNumberFormat="1" applyFont="1" applyFill="1" applyBorder="1" applyAlignment="1" quotePrefix="1">
      <alignment horizontal="right" vertical="center"/>
    </xf>
    <xf numFmtId="4" fontId="0" fillId="33" borderId="10" xfId="0" applyNumberFormat="1" applyFont="1" applyFill="1" applyBorder="1" applyAlignment="1">
      <alignment horizontal="right" vertical="center"/>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0" fontId="0" fillId="33" borderId="11" xfId="0" applyFill="1" applyBorder="1" applyAlignment="1">
      <alignment horizontal="center" vertical="center" wrapText="1"/>
    </xf>
    <xf numFmtId="175" fontId="0" fillId="33" borderId="0" xfId="0" applyNumberFormat="1" applyFont="1" applyFill="1" applyAlignment="1">
      <alignment horizontal="right"/>
    </xf>
    <xf numFmtId="193" fontId="0" fillId="33" borderId="10" xfId="0" applyNumberFormat="1" applyFill="1" applyBorder="1" applyAlignment="1">
      <alignment horizontal="center" vertical="center" wrapText="1"/>
    </xf>
    <xf numFmtId="3" fontId="0" fillId="34" borderId="10" xfId="0" applyNumberFormat="1" applyFont="1" applyFill="1" applyBorder="1" applyAlignment="1">
      <alignment horizontal="right" vertical="center"/>
    </xf>
    <xf numFmtId="189" fontId="0" fillId="35" borderId="10" xfId="42" applyNumberFormat="1" applyFont="1" applyFill="1" applyBorder="1" applyAlignment="1">
      <alignment/>
    </xf>
    <xf numFmtId="3" fontId="0" fillId="35" borderId="10" xfId="0" applyNumberFormat="1" applyFill="1" applyBorder="1" applyAlignment="1">
      <alignment/>
    </xf>
    <xf numFmtId="3" fontId="0" fillId="0" borderId="0" xfId="0" applyNumberFormat="1" applyFont="1" applyFill="1" applyBorder="1" applyAlignment="1">
      <alignment horizontal="left" vertical="center"/>
    </xf>
    <xf numFmtId="0" fontId="1" fillId="0" borderId="10" xfId="0" applyFont="1" applyBorder="1" applyAlignment="1">
      <alignment/>
    </xf>
    <xf numFmtId="3" fontId="0" fillId="35" borderId="10" xfId="0" applyNumberFormat="1" applyFont="1" applyFill="1" applyBorder="1" applyAlignment="1">
      <alignment horizontal="right"/>
    </xf>
    <xf numFmtId="0" fontId="0" fillId="34" borderId="10" xfId="0" applyFill="1" applyBorder="1" applyAlignment="1">
      <alignment horizontal="center" vertical="center" wrapText="1"/>
    </xf>
    <xf numFmtId="0" fontId="0" fillId="35" borderId="10" xfId="0" applyFont="1" applyFill="1" applyBorder="1" applyAlignment="1">
      <alignment horizontal="right" vertical="center"/>
    </xf>
    <xf numFmtId="4" fontId="0" fillId="35" borderId="10" xfId="0" applyNumberFormat="1" applyFill="1" applyBorder="1" applyAlignment="1">
      <alignment/>
    </xf>
    <xf numFmtId="0" fontId="0" fillId="35" borderId="10" xfId="0" applyFill="1" applyBorder="1" applyAlignment="1">
      <alignment horizontal="center" vertical="center" wrapText="1"/>
    </xf>
    <xf numFmtId="39" fontId="0" fillId="35" borderId="10" xfId="42" applyNumberFormat="1" applyFont="1" applyFill="1" applyBorder="1" applyAlignment="1">
      <alignment horizontal="right" vertical="center"/>
    </xf>
    <xf numFmtId="0" fontId="1" fillId="35" borderId="10" xfId="0" applyFont="1"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0" borderId="10" xfId="0" applyNumberFormat="1" applyFont="1" applyFill="1" applyBorder="1" applyAlignment="1">
      <alignment horizontal="righ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9" fontId="0" fillId="33" borderId="0" xfId="0" applyNumberFormat="1" applyFill="1" applyBorder="1" applyAlignment="1">
      <alignment horizontal="center" vertical="center" wrapText="1"/>
    </xf>
    <xf numFmtId="193" fontId="0" fillId="33" borderId="10" xfId="0" applyNumberFormat="1" applyFont="1" applyFill="1" applyBorder="1" applyAlignment="1">
      <alignment horizontal="center" vertical="center"/>
    </xf>
    <xf numFmtId="189" fontId="1" fillId="35" borderId="10" xfId="42" applyNumberFormat="1" applyFont="1" applyFill="1" applyBorder="1" applyAlignment="1">
      <alignment horizontal="center" vertical="center"/>
    </xf>
    <xf numFmtId="49" fontId="1" fillId="0" borderId="10" xfId="0" applyNumberFormat="1" applyFont="1" applyBorder="1" applyAlignment="1">
      <alignment horizontal="center"/>
    </xf>
    <xf numFmtId="0" fontId="1" fillId="0" borderId="10" xfId="0" applyFont="1" applyFill="1" applyBorder="1" applyAlignment="1">
      <alignment/>
    </xf>
    <xf numFmtId="43" fontId="0" fillId="33" borderId="10" xfId="0" applyNumberFormat="1" applyFont="1" applyFill="1" applyBorder="1" applyAlignment="1">
      <alignment horizontal="right" vertical="center"/>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43" fontId="0" fillId="35" borderId="10" xfId="42"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5" borderId="10" xfId="42" applyNumberFormat="1" applyFont="1" applyFill="1" applyBorder="1" applyAlignment="1">
      <alignment/>
    </xf>
    <xf numFmtId="189" fontId="0" fillId="35" borderId="10" xfId="42" applyNumberFormat="1" applyFont="1" applyFill="1" applyBorder="1" applyAlignment="1">
      <alignment horizontal="right" vertical="center" wrapText="1"/>
    </xf>
    <xf numFmtId="43" fontId="0" fillId="35" borderId="10" xfId="42" applyFont="1" applyFill="1" applyBorder="1" applyAlignment="1">
      <alignment/>
    </xf>
    <xf numFmtId="43" fontId="0" fillId="0" borderId="12" xfId="42" applyFont="1" applyFill="1" applyBorder="1" applyAlignment="1">
      <alignment/>
    </xf>
    <xf numFmtId="39" fontId="0" fillId="35" borderId="10" xfId="42" applyNumberFormat="1" applyFont="1" applyFill="1" applyBorder="1" applyAlignment="1">
      <alignment horizontal="right" vertical="center"/>
    </xf>
    <xf numFmtId="189" fontId="0" fillId="35" borderId="10" xfId="42" applyNumberFormat="1" applyFont="1" applyFill="1" applyBorder="1" applyAlignment="1">
      <alignment horizontal="center" vertical="center" wrapText="1"/>
    </xf>
    <xf numFmtId="43" fontId="0" fillId="35" borderId="10" xfId="42" applyNumberFormat="1" applyFont="1" applyFill="1" applyBorder="1" applyAlignment="1">
      <alignment horizontal="center" vertical="center" wrapText="1"/>
    </xf>
    <xf numFmtId="189" fontId="0" fillId="33" borderId="10" xfId="42" applyNumberFormat="1" applyFont="1" applyFill="1" applyBorder="1" applyAlignment="1">
      <alignment horizontal="center" vertical="center" wrapText="1"/>
    </xf>
    <xf numFmtId="0" fontId="0" fillId="33" borderId="16" xfId="0" applyFill="1" applyBorder="1" applyAlignment="1">
      <alignment horizontal="center" vertical="center" wrapText="1"/>
    </xf>
    <xf numFmtId="189" fontId="0" fillId="34" borderId="0" xfId="42" applyNumberFormat="1" applyFont="1" applyFill="1" applyAlignment="1">
      <alignment/>
    </xf>
    <xf numFmtId="164" fontId="0" fillId="33" borderId="0" xfId="42" applyNumberFormat="1" applyFont="1"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0" fontId="8" fillId="0" borderId="0" xfId="0" applyFont="1" applyAlignment="1">
      <alignment/>
    </xf>
    <xf numFmtId="0" fontId="0" fillId="0" borderId="0" xfId="0" applyAlignment="1">
      <alignment horizontal="left" vertical="center"/>
    </xf>
    <xf numFmtId="39" fontId="0" fillId="35" borderId="0" xfId="42" applyNumberFormat="1" applyFont="1" applyFill="1" applyAlignment="1">
      <alignment horizontal="center" vertical="center"/>
    </xf>
    <xf numFmtId="0" fontId="0" fillId="0" borderId="0" xfId="0" applyAlignment="1">
      <alignment horizontal="center" vertical="center"/>
    </xf>
    <xf numFmtId="198" fontId="0" fillId="0" borderId="0" xfId="0" applyNumberFormat="1" applyAlignment="1">
      <alignment horizontal="center" vertical="center"/>
    </xf>
    <xf numFmtId="43" fontId="0" fillId="0" borderId="0" xfId="42" applyFont="1" applyAlignment="1">
      <alignment horizontal="center" vertical="center"/>
    </xf>
    <xf numFmtId="39" fontId="0" fillId="0" borderId="0" xfId="0" applyNumberFormat="1" applyAlignment="1">
      <alignment horizontal="center" vertical="center"/>
    </xf>
    <xf numFmtId="199" fontId="0" fillId="35"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43" fontId="0" fillId="35" borderId="10" xfId="42" applyFont="1" applyFill="1" applyBorder="1" applyAlignment="1">
      <alignment horizontal="center" vertical="center" wrapText="1"/>
    </xf>
    <xf numFmtId="39" fontId="0" fillId="35" borderId="10" xfId="42" applyNumberFormat="1" applyFont="1" applyFill="1" applyBorder="1" applyAlignment="1">
      <alignment horizontal="right" vertical="center" wrapText="1"/>
    </xf>
    <xf numFmtId="193" fontId="1" fillId="33" borderId="10" xfId="0" applyNumberFormat="1" applyFont="1" applyFill="1" applyBorder="1" applyAlignment="1">
      <alignment horizontal="center" vertical="center"/>
    </xf>
    <xf numFmtId="44" fontId="1" fillId="35" borderId="10" xfId="42" applyNumberFormat="1" applyFont="1" applyFill="1" applyBorder="1" applyAlignment="1">
      <alignment horizontal="center" vertical="center"/>
    </xf>
    <xf numFmtId="189" fontId="1" fillId="35" borderId="10" xfId="42" applyNumberFormat="1" applyFont="1" applyFill="1" applyBorder="1" applyAlignment="1">
      <alignment horizontal="right" vertical="center"/>
    </xf>
    <xf numFmtId="0" fontId="1" fillId="35" borderId="10" xfId="0"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right" vertical="center" wrapText="1"/>
    </xf>
    <xf numFmtId="44" fontId="1" fillId="36" borderId="10" xfId="0" applyNumberFormat="1" applyFont="1" applyFill="1" applyBorder="1" applyAlignment="1">
      <alignment vertical="center" wrapText="1"/>
    </xf>
    <xf numFmtId="44" fontId="1" fillId="35" borderId="10" xfId="42" applyNumberFormat="1" applyFont="1" applyFill="1" applyBorder="1" applyAlignment="1">
      <alignment vertical="center"/>
    </xf>
    <xf numFmtId="0" fontId="1" fillId="33" borderId="10" xfId="0" applyFont="1" applyFill="1" applyBorder="1" applyAlignment="1">
      <alignment horizontal="center" vertical="center" wrapText="1"/>
    </xf>
    <xf numFmtId="2" fontId="0" fillId="36" borderId="10" xfId="0" applyNumberFormat="1" applyFill="1" applyBorder="1" applyAlignment="1">
      <alignment horizontal="center" vertical="center" wrapText="1"/>
    </xf>
    <xf numFmtId="2" fontId="0" fillId="33" borderId="10" xfId="0" applyNumberFormat="1" applyFont="1" applyFill="1" applyBorder="1" applyAlignment="1">
      <alignment horizontal="center" vertical="center"/>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0" xfId="0" applyFont="1" applyFill="1" applyBorder="1" applyAlignment="1">
      <alignment horizontal="center"/>
    </xf>
    <xf numFmtId="0" fontId="0" fillId="34" borderId="19" xfId="0" applyFill="1" applyBorder="1" applyAlignment="1">
      <alignment horizontal="center"/>
    </xf>
    <xf numFmtId="0" fontId="0" fillId="34" borderId="15" xfId="0" applyFill="1" applyBorder="1" applyAlignment="1">
      <alignment horizontal="center"/>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4" xfId="0" applyFill="1" applyBorder="1" applyAlignment="1">
      <alignment horizontal="center"/>
    </xf>
    <xf numFmtId="0" fontId="0" fillId="34" borderId="22"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4" fillId="34" borderId="10" xfId="0" applyNumberFormat="1"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0" fontId="0" fillId="34" borderId="14"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2" xfId="0"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0" xfId="0" applyAlignment="1">
      <alignment horizontal="left" vertical="center"/>
    </xf>
    <xf numFmtId="0" fontId="8" fillId="0" borderId="0" xfId="0" applyFont="1" applyAlignment="1">
      <alignment horizontal="center"/>
    </xf>
    <xf numFmtId="0" fontId="0" fillId="0" borderId="0" xfId="0" applyAlignment="1">
      <alignment horizontal="left" vertical="center" wrapText="1"/>
    </xf>
    <xf numFmtId="0" fontId="9" fillId="0" borderId="21" xfId="0" applyFont="1" applyBorder="1" applyAlignment="1">
      <alignment horizontal="center"/>
    </xf>
    <xf numFmtId="0" fontId="0" fillId="0" borderId="20"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O32"/>
  <sheetViews>
    <sheetView tabSelected="1" zoomScaleSheetLayoutView="75" workbookViewId="0" topLeftCell="A1">
      <selection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58" width="22.421875" style="1" customWidth="1"/>
    <col min="59" max="59" width="24.28125" style="1" customWidth="1"/>
    <col min="60"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7.140625" style="1" customWidth="1"/>
    <col min="89" max="89" width="26.57421875" style="1" customWidth="1"/>
    <col min="90" max="90" width="41.140625" style="2" customWidth="1"/>
    <col min="91" max="93" width="22.7109375" style="2" customWidth="1"/>
    <col min="94" max="16384" width="9.140625" style="2" customWidth="1"/>
  </cols>
  <sheetData>
    <row r="1" spans="3:93" ht="17.25" customHeight="1">
      <c r="C1" s="114">
        <v>1</v>
      </c>
      <c r="D1" s="114"/>
      <c r="E1" s="66">
        <v>2</v>
      </c>
      <c r="F1" s="67">
        <v>3</v>
      </c>
      <c r="G1" s="68">
        <v>4</v>
      </c>
      <c r="H1" s="66">
        <v>5</v>
      </c>
      <c r="I1" s="66">
        <v>6</v>
      </c>
      <c r="J1" s="66">
        <v>7</v>
      </c>
      <c r="K1" s="66">
        <v>8</v>
      </c>
      <c r="L1" s="114">
        <v>9</v>
      </c>
      <c r="M1" s="114"/>
      <c r="N1" s="114">
        <v>10</v>
      </c>
      <c r="O1" s="114"/>
      <c r="P1" s="66">
        <v>11</v>
      </c>
      <c r="Q1" s="114" t="s">
        <v>70</v>
      </c>
      <c r="R1" s="114"/>
      <c r="S1" s="114"/>
      <c r="T1" s="114"/>
      <c r="U1" s="114"/>
      <c r="V1" s="114"/>
      <c r="W1" s="114"/>
      <c r="X1" s="114"/>
      <c r="Y1" s="114" t="s">
        <v>71</v>
      </c>
      <c r="Z1" s="114"/>
      <c r="AA1" s="114"/>
      <c r="AB1" s="114" t="s">
        <v>72</v>
      </c>
      <c r="AC1" s="114"/>
      <c r="AD1" s="114"/>
      <c r="AE1" s="114" t="s">
        <v>72</v>
      </c>
      <c r="AF1" s="114"/>
      <c r="AG1" s="114"/>
      <c r="AH1" s="66" t="s">
        <v>73</v>
      </c>
      <c r="AI1" s="114" t="s">
        <v>74</v>
      </c>
      <c r="AJ1" s="114"/>
      <c r="AK1" s="114"/>
      <c r="AL1" s="114"/>
      <c r="AM1" s="114"/>
      <c r="AN1" s="114"/>
      <c r="AO1" s="114"/>
      <c r="AP1" s="114" t="s">
        <v>75</v>
      </c>
      <c r="AQ1" s="114"/>
      <c r="AR1" s="114"/>
      <c r="AS1" s="114"/>
      <c r="AT1" s="114" t="s">
        <v>76</v>
      </c>
      <c r="AU1" s="114"/>
      <c r="AV1" s="114" t="s">
        <v>77</v>
      </c>
      <c r="AW1" s="114"/>
      <c r="AX1" s="114"/>
      <c r="AY1" s="114"/>
      <c r="AZ1" s="114"/>
      <c r="BA1" s="114"/>
      <c r="BB1" s="114"/>
      <c r="BC1" s="114"/>
      <c r="BD1" s="114" t="s">
        <v>78</v>
      </c>
      <c r="BE1" s="114"/>
      <c r="BF1" s="114"/>
      <c r="BG1" s="114"/>
      <c r="BH1" s="114"/>
      <c r="BI1" s="114"/>
      <c r="BJ1" s="114"/>
      <c r="BK1" s="114"/>
      <c r="BL1" s="114"/>
      <c r="BM1" s="114" t="s">
        <v>79</v>
      </c>
      <c r="BN1" s="114"/>
      <c r="BO1" s="114"/>
      <c r="BQ1" s="115" t="s">
        <v>4</v>
      </c>
      <c r="BR1" s="129" t="s">
        <v>14</v>
      </c>
      <c r="BS1" s="114" t="s">
        <v>80</v>
      </c>
      <c r="BT1" s="114"/>
      <c r="BU1" s="114"/>
      <c r="BV1" s="114"/>
      <c r="BW1" s="114"/>
      <c r="BX1" s="114"/>
      <c r="BY1" s="114"/>
      <c r="BZ1" s="114"/>
      <c r="CA1" s="114"/>
      <c r="CB1" s="114"/>
      <c r="CC1" s="114"/>
      <c r="CD1" s="114"/>
      <c r="CE1" s="114"/>
      <c r="CG1" s="125" t="s">
        <v>81</v>
      </c>
      <c r="CH1" s="126"/>
      <c r="CI1" s="127"/>
      <c r="CK1" s="69"/>
      <c r="CL1" s="119" t="s">
        <v>82</v>
      </c>
      <c r="CM1" s="119"/>
      <c r="CN1" s="119"/>
      <c r="CO1" s="119"/>
    </row>
    <row r="2" spans="3:93" ht="17.25" customHeight="1">
      <c r="C2" s="120" t="s">
        <v>83</v>
      </c>
      <c r="D2" s="121"/>
      <c r="E2" s="116" t="s">
        <v>84</v>
      </c>
      <c r="F2" s="116" t="s">
        <v>85</v>
      </c>
      <c r="G2" s="116" t="s">
        <v>86</v>
      </c>
      <c r="H2" s="116" t="s">
        <v>87</v>
      </c>
      <c r="I2" s="116" t="s">
        <v>88</v>
      </c>
      <c r="J2" s="116" t="s">
        <v>89</v>
      </c>
      <c r="K2" s="116" t="s">
        <v>90</v>
      </c>
      <c r="L2" s="114" t="s">
        <v>91</v>
      </c>
      <c r="M2" s="114"/>
      <c r="N2" s="114" t="s">
        <v>92</v>
      </c>
      <c r="O2" s="114"/>
      <c r="P2" s="116" t="s">
        <v>93</v>
      </c>
      <c r="Q2" s="66" t="s">
        <v>94</v>
      </c>
      <c r="R2" s="114" t="s">
        <v>95</v>
      </c>
      <c r="S2" s="114"/>
      <c r="T2" s="114"/>
      <c r="U2" s="114"/>
      <c r="V2" s="66" t="s">
        <v>96</v>
      </c>
      <c r="W2" s="66" t="s">
        <v>97</v>
      </c>
      <c r="X2" s="66" t="s">
        <v>98</v>
      </c>
      <c r="Y2" s="115" t="s">
        <v>99</v>
      </c>
      <c r="Z2" s="115" t="s">
        <v>100</v>
      </c>
      <c r="AA2" s="115" t="s">
        <v>101</v>
      </c>
      <c r="AB2" s="114" t="s">
        <v>102</v>
      </c>
      <c r="AC2" s="114"/>
      <c r="AD2" s="114"/>
      <c r="AE2" s="114" t="s">
        <v>102</v>
      </c>
      <c r="AF2" s="114"/>
      <c r="AG2" s="114"/>
      <c r="AH2" s="115" t="s">
        <v>23</v>
      </c>
      <c r="AI2" s="114" t="s">
        <v>103</v>
      </c>
      <c r="AJ2" s="114"/>
      <c r="AK2" s="114"/>
      <c r="AL2" s="114"/>
      <c r="AM2" s="114"/>
      <c r="AN2" s="114"/>
      <c r="AO2" s="114"/>
      <c r="AP2" s="114" t="s">
        <v>104</v>
      </c>
      <c r="AQ2" s="114"/>
      <c r="AR2" s="114"/>
      <c r="AS2" s="114"/>
      <c r="AT2" s="114" t="s">
        <v>105</v>
      </c>
      <c r="AU2" s="114"/>
      <c r="AV2" s="115" t="s">
        <v>106</v>
      </c>
      <c r="AW2" s="115" t="s">
        <v>107</v>
      </c>
      <c r="AX2" s="115" t="s">
        <v>108</v>
      </c>
      <c r="AY2" s="115" t="s">
        <v>109</v>
      </c>
      <c r="AZ2" s="115" t="s">
        <v>110</v>
      </c>
      <c r="BA2" s="122" t="s">
        <v>111</v>
      </c>
      <c r="BB2" s="115" t="s">
        <v>149</v>
      </c>
      <c r="BC2" s="115" t="s">
        <v>150</v>
      </c>
      <c r="BD2" s="115" t="s">
        <v>157</v>
      </c>
      <c r="BE2" s="115" t="s">
        <v>112</v>
      </c>
      <c r="BF2" s="115" t="s">
        <v>113</v>
      </c>
      <c r="BG2" s="115" t="s">
        <v>156</v>
      </c>
      <c r="BH2" s="122" t="s">
        <v>114</v>
      </c>
      <c r="BI2" s="115" t="s">
        <v>176</v>
      </c>
      <c r="BJ2" s="115" t="s">
        <v>177</v>
      </c>
      <c r="BK2" s="115" t="s">
        <v>115</v>
      </c>
      <c r="BL2" s="115" t="s">
        <v>116</v>
      </c>
      <c r="BM2" s="115" t="s">
        <v>117</v>
      </c>
      <c r="BN2" s="115" t="s">
        <v>22</v>
      </c>
      <c r="BO2" s="115" t="s">
        <v>13</v>
      </c>
      <c r="BQ2" s="115"/>
      <c r="BR2" s="129"/>
      <c r="BS2" s="115" t="s">
        <v>155</v>
      </c>
      <c r="BT2" s="115" t="s">
        <v>154</v>
      </c>
      <c r="BU2" s="115" t="s">
        <v>5</v>
      </c>
      <c r="BV2" s="115" t="s">
        <v>6</v>
      </c>
      <c r="BW2" s="115" t="s">
        <v>7</v>
      </c>
      <c r="BX2" s="115" t="s">
        <v>153</v>
      </c>
      <c r="BY2" s="115" t="s">
        <v>8</v>
      </c>
      <c r="BZ2" s="115" t="s">
        <v>152</v>
      </c>
      <c r="CA2" s="115" t="s">
        <v>151</v>
      </c>
      <c r="CB2" s="115" t="s">
        <v>24</v>
      </c>
      <c r="CC2" s="115" t="s">
        <v>9</v>
      </c>
      <c r="CD2" s="115" t="s">
        <v>90</v>
      </c>
      <c r="CE2" s="115" t="s">
        <v>10</v>
      </c>
      <c r="CG2" s="134" t="s">
        <v>17</v>
      </c>
      <c r="CH2" s="135" t="s">
        <v>18</v>
      </c>
      <c r="CI2" s="134" t="s">
        <v>19</v>
      </c>
      <c r="CK2" s="141" t="s">
        <v>20</v>
      </c>
      <c r="CL2" s="142" t="s">
        <v>21</v>
      </c>
      <c r="CM2" s="130" t="s">
        <v>1</v>
      </c>
      <c r="CN2" s="132" t="s">
        <v>2</v>
      </c>
      <c r="CO2" s="130" t="s">
        <v>11</v>
      </c>
    </row>
    <row r="3" spans="1:93" s="5" customFormat="1" ht="17.25" customHeight="1">
      <c r="A3" s="3"/>
      <c r="B3" s="4"/>
      <c r="C3" s="39" t="s">
        <v>118</v>
      </c>
      <c r="D3" s="39" t="s">
        <v>119</v>
      </c>
      <c r="E3" s="117"/>
      <c r="F3" s="117"/>
      <c r="G3" s="117"/>
      <c r="H3" s="117"/>
      <c r="I3" s="117"/>
      <c r="J3" s="117"/>
      <c r="K3" s="117"/>
      <c r="L3" s="65" t="s">
        <v>118</v>
      </c>
      <c r="M3" s="39" t="s">
        <v>119</v>
      </c>
      <c r="N3" s="39" t="s">
        <v>118</v>
      </c>
      <c r="O3" s="39" t="s">
        <v>119</v>
      </c>
      <c r="P3" s="117"/>
      <c r="Q3" s="116" t="s">
        <v>120</v>
      </c>
      <c r="R3" s="138" t="s">
        <v>121</v>
      </c>
      <c r="S3" s="139"/>
      <c r="T3" s="139"/>
      <c r="U3" s="140"/>
      <c r="V3" s="116" t="s">
        <v>3</v>
      </c>
      <c r="W3" s="116" t="s">
        <v>12</v>
      </c>
      <c r="X3" s="115" t="s">
        <v>16</v>
      </c>
      <c r="Y3" s="115"/>
      <c r="Z3" s="115"/>
      <c r="AA3" s="115"/>
      <c r="AB3" s="138" t="s">
        <v>162</v>
      </c>
      <c r="AC3" s="139"/>
      <c r="AD3" s="140"/>
      <c r="AE3" s="138" t="s">
        <v>122</v>
      </c>
      <c r="AF3" s="139"/>
      <c r="AG3" s="140"/>
      <c r="AH3" s="115"/>
      <c r="AI3" s="116" t="s">
        <v>123</v>
      </c>
      <c r="AJ3" s="116" t="s">
        <v>124</v>
      </c>
      <c r="AK3" s="116" t="s">
        <v>125</v>
      </c>
      <c r="AL3" s="116" t="s">
        <v>126</v>
      </c>
      <c r="AM3" s="116" t="s">
        <v>127</v>
      </c>
      <c r="AN3" s="116" t="s">
        <v>128</v>
      </c>
      <c r="AO3" s="116" t="s">
        <v>129</v>
      </c>
      <c r="AP3" s="116" t="s">
        <v>130</v>
      </c>
      <c r="AQ3" s="116" t="s">
        <v>131</v>
      </c>
      <c r="AR3" s="116" t="s">
        <v>132</v>
      </c>
      <c r="AS3" s="116" t="s">
        <v>147</v>
      </c>
      <c r="AT3" s="116" t="s">
        <v>133</v>
      </c>
      <c r="AU3" s="116" t="s">
        <v>148</v>
      </c>
      <c r="AV3" s="115"/>
      <c r="AW3" s="115"/>
      <c r="AX3" s="115"/>
      <c r="AY3" s="115"/>
      <c r="AZ3" s="115"/>
      <c r="BA3" s="123"/>
      <c r="BB3" s="115"/>
      <c r="BC3" s="115"/>
      <c r="BD3" s="115"/>
      <c r="BE3" s="115"/>
      <c r="BF3" s="115"/>
      <c r="BG3" s="115"/>
      <c r="BH3" s="123"/>
      <c r="BI3" s="115"/>
      <c r="BJ3" s="115"/>
      <c r="BK3" s="115"/>
      <c r="BL3" s="115"/>
      <c r="BM3" s="115"/>
      <c r="BN3" s="115"/>
      <c r="BO3" s="115"/>
      <c r="BP3" s="70"/>
      <c r="BQ3" s="115"/>
      <c r="BR3" s="129"/>
      <c r="BS3" s="115"/>
      <c r="BT3" s="115"/>
      <c r="BU3" s="128"/>
      <c r="BV3" s="115"/>
      <c r="BW3" s="115"/>
      <c r="BX3" s="115"/>
      <c r="BY3" s="115"/>
      <c r="BZ3" s="115"/>
      <c r="CA3" s="115"/>
      <c r="CB3" s="115"/>
      <c r="CC3" s="115"/>
      <c r="CD3" s="115"/>
      <c r="CE3" s="115"/>
      <c r="CF3" s="71"/>
      <c r="CG3" s="134"/>
      <c r="CH3" s="136"/>
      <c r="CI3" s="134"/>
      <c r="CK3" s="141"/>
      <c r="CL3" s="142"/>
      <c r="CM3" s="131"/>
      <c r="CN3" s="132"/>
      <c r="CO3" s="131"/>
    </row>
    <row r="4" spans="1:93" s="5" customFormat="1" ht="28.5" customHeight="1">
      <c r="A4" s="3"/>
      <c r="B4" s="116" t="s">
        <v>146</v>
      </c>
      <c r="C4" s="116" t="s">
        <v>0</v>
      </c>
      <c r="D4" s="116" t="s">
        <v>15</v>
      </c>
      <c r="E4" s="117"/>
      <c r="F4" s="117"/>
      <c r="G4" s="117"/>
      <c r="H4" s="117"/>
      <c r="I4" s="117"/>
      <c r="J4" s="117"/>
      <c r="K4" s="117"/>
      <c r="L4" s="116" t="s">
        <v>134</v>
      </c>
      <c r="M4" s="116" t="s">
        <v>135</v>
      </c>
      <c r="N4" s="116" t="s">
        <v>68</v>
      </c>
      <c r="O4" s="116" t="s">
        <v>69</v>
      </c>
      <c r="P4" s="117"/>
      <c r="Q4" s="117"/>
      <c r="R4" s="144" t="s">
        <v>136</v>
      </c>
      <c r="S4" s="145"/>
      <c r="T4" s="144" t="s">
        <v>137</v>
      </c>
      <c r="U4" s="145"/>
      <c r="V4" s="117"/>
      <c r="W4" s="117"/>
      <c r="X4" s="115"/>
      <c r="Y4" s="115"/>
      <c r="Z4" s="115"/>
      <c r="AA4" s="115"/>
      <c r="AB4" s="116" t="s">
        <v>138</v>
      </c>
      <c r="AC4" s="116" t="s">
        <v>139</v>
      </c>
      <c r="AD4" s="116" t="s">
        <v>140</v>
      </c>
      <c r="AE4" s="116" t="s">
        <v>141</v>
      </c>
      <c r="AF4" s="116" t="s">
        <v>142</v>
      </c>
      <c r="AG4" s="116" t="s">
        <v>143</v>
      </c>
      <c r="AH4" s="115"/>
      <c r="AI4" s="117"/>
      <c r="AJ4" s="117"/>
      <c r="AK4" s="117"/>
      <c r="AL4" s="117"/>
      <c r="AM4" s="117"/>
      <c r="AN4" s="117"/>
      <c r="AO4" s="117"/>
      <c r="AP4" s="117"/>
      <c r="AQ4" s="117"/>
      <c r="AR4" s="117"/>
      <c r="AS4" s="117"/>
      <c r="AT4" s="117"/>
      <c r="AU4" s="117"/>
      <c r="AV4" s="115"/>
      <c r="AW4" s="115"/>
      <c r="AX4" s="115"/>
      <c r="AY4" s="115"/>
      <c r="AZ4" s="115"/>
      <c r="BA4" s="123"/>
      <c r="BB4" s="115"/>
      <c r="BC4" s="115"/>
      <c r="BD4" s="115"/>
      <c r="BE4" s="115"/>
      <c r="BF4" s="115"/>
      <c r="BG4" s="115"/>
      <c r="BH4" s="123"/>
      <c r="BI4" s="115"/>
      <c r="BJ4" s="115"/>
      <c r="BK4" s="115"/>
      <c r="BL4" s="115"/>
      <c r="BM4" s="115"/>
      <c r="BN4" s="115"/>
      <c r="BO4" s="115"/>
      <c r="BQ4" s="115"/>
      <c r="BR4" s="129"/>
      <c r="BS4" s="115"/>
      <c r="BT4" s="115"/>
      <c r="BU4" s="128"/>
      <c r="BV4" s="115"/>
      <c r="BW4" s="115"/>
      <c r="BX4" s="115"/>
      <c r="BY4" s="115"/>
      <c r="BZ4" s="115"/>
      <c r="CA4" s="115"/>
      <c r="CB4" s="115"/>
      <c r="CC4" s="115"/>
      <c r="CD4" s="115"/>
      <c r="CE4" s="115"/>
      <c r="CF4" s="50"/>
      <c r="CG4" s="134"/>
      <c r="CH4" s="136"/>
      <c r="CI4" s="134"/>
      <c r="CJ4" s="56"/>
      <c r="CK4" s="141"/>
      <c r="CL4" s="142"/>
      <c r="CM4" s="131"/>
      <c r="CN4" s="132"/>
      <c r="CO4" s="131"/>
    </row>
    <row r="5" spans="2:93" s="5" customFormat="1" ht="47.25" customHeight="1">
      <c r="B5" s="118"/>
      <c r="C5" s="118"/>
      <c r="D5" s="118"/>
      <c r="E5" s="118"/>
      <c r="F5" s="118"/>
      <c r="G5" s="118"/>
      <c r="H5" s="118"/>
      <c r="I5" s="118"/>
      <c r="J5" s="118"/>
      <c r="K5" s="118"/>
      <c r="L5" s="118"/>
      <c r="M5" s="118"/>
      <c r="N5" s="118"/>
      <c r="O5" s="118"/>
      <c r="P5" s="118"/>
      <c r="Q5" s="118"/>
      <c r="R5" s="63" t="s">
        <v>144</v>
      </c>
      <c r="S5" s="63" t="s">
        <v>145</v>
      </c>
      <c r="T5" s="63" t="s">
        <v>144</v>
      </c>
      <c r="U5" s="63" t="s">
        <v>145</v>
      </c>
      <c r="V5" s="118"/>
      <c r="W5" s="118"/>
      <c r="X5" s="115"/>
      <c r="Y5" s="115"/>
      <c r="Z5" s="115"/>
      <c r="AA5" s="115"/>
      <c r="AB5" s="118"/>
      <c r="AC5" s="118"/>
      <c r="AD5" s="118"/>
      <c r="AE5" s="118"/>
      <c r="AF5" s="118"/>
      <c r="AG5" s="118"/>
      <c r="AH5" s="115"/>
      <c r="AI5" s="118"/>
      <c r="AJ5" s="118"/>
      <c r="AK5" s="118"/>
      <c r="AL5" s="118"/>
      <c r="AM5" s="118"/>
      <c r="AN5" s="118"/>
      <c r="AO5" s="118"/>
      <c r="AP5" s="118"/>
      <c r="AQ5" s="118"/>
      <c r="AR5" s="118"/>
      <c r="AS5" s="118"/>
      <c r="AT5" s="118"/>
      <c r="AU5" s="118"/>
      <c r="AV5" s="115"/>
      <c r="AW5" s="115"/>
      <c r="AX5" s="115"/>
      <c r="AY5" s="115"/>
      <c r="AZ5" s="115"/>
      <c r="BA5" s="124"/>
      <c r="BB5" s="115"/>
      <c r="BC5" s="115"/>
      <c r="BD5" s="115"/>
      <c r="BE5" s="115"/>
      <c r="BF5" s="115"/>
      <c r="BG5" s="115"/>
      <c r="BH5" s="124"/>
      <c r="BI5" s="115"/>
      <c r="BJ5" s="115"/>
      <c r="BK5" s="115"/>
      <c r="BL5" s="115"/>
      <c r="BM5" s="115"/>
      <c r="BN5" s="115"/>
      <c r="BO5" s="115"/>
      <c r="BQ5" s="115"/>
      <c r="BR5" s="129"/>
      <c r="BS5" s="115"/>
      <c r="BT5" s="115"/>
      <c r="BU5" s="128"/>
      <c r="BV5" s="115"/>
      <c r="BW5" s="115"/>
      <c r="BX5" s="115"/>
      <c r="BY5" s="115"/>
      <c r="BZ5" s="115"/>
      <c r="CA5" s="115"/>
      <c r="CB5" s="115"/>
      <c r="CC5" s="115"/>
      <c r="CD5" s="115"/>
      <c r="CE5" s="115"/>
      <c r="CF5" s="50"/>
      <c r="CG5" s="134"/>
      <c r="CH5" s="137"/>
      <c r="CI5" s="134"/>
      <c r="CJ5" s="56"/>
      <c r="CK5" s="141"/>
      <c r="CL5" s="143"/>
      <c r="CM5" s="131"/>
      <c r="CN5" s="133"/>
      <c r="CO5" s="131"/>
    </row>
    <row r="6" spans="1:93" s="5" customFormat="1" ht="17.25" customHeight="1">
      <c r="A6" s="59" t="s">
        <v>25</v>
      </c>
      <c r="B6" s="37" t="s">
        <v>26</v>
      </c>
      <c r="C6" s="34">
        <v>1182940843</v>
      </c>
      <c r="D6" s="34">
        <v>1496107387</v>
      </c>
      <c r="E6" s="8">
        <f>C6+D6</f>
        <v>2679048230</v>
      </c>
      <c r="F6" s="38">
        <v>0</v>
      </c>
      <c r="G6" s="51">
        <f>E6-F6</f>
        <v>2679048230</v>
      </c>
      <c r="H6" s="35">
        <v>5912200</v>
      </c>
      <c r="I6" s="8">
        <f>G6+H6</f>
        <v>2684960430</v>
      </c>
      <c r="J6" s="57">
        <f>CC6</f>
        <v>3.834</v>
      </c>
      <c r="K6" s="112">
        <v>96.3</v>
      </c>
      <c r="L6" s="40"/>
      <c r="M6" s="35"/>
      <c r="N6" s="72"/>
      <c r="O6" s="73">
        <v>128305879</v>
      </c>
      <c r="P6" s="8">
        <f>I6-L6+M6-N6+O6</f>
        <v>2813266309</v>
      </c>
      <c r="Q6" s="14">
        <f aca="true" t="shared" si="0" ref="Q6:Q26">ROUND(P6*Q$29,2)</f>
        <v>14262250.22</v>
      </c>
      <c r="R6" s="64"/>
      <c r="S6" s="64"/>
      <c r="T6" s="74">
        <v>82993.26</v>
      </c>
      <c r="U6" s="74"/>
      <c r="V6" s="75">
        <f>Q6-R6+S6-T6+U6</f>
        <v>14179256.96</v>
      </c>
      <c r="W6" s="42">
        <v>0</v>
      </c>
      <c r="X6" s="16">
        <f>V6-W6</f>
        <v>14179256.96</v>
      </c>
      <c r="Y6" s="76">
        <v>0</v>
      </c>
      <c r="Z6" s="76">
        <v>0</v>
      </c>
      <c r="AA6" s="43">
        <v>423498.82</v>
      </c>
      <c r="AB6" s="41">
        <v>38667832</v>
      </c>
      <c r="AC6" s="41">
        <v>0</v>
      </c>
      <c r="AD6" s="41">
        <v>0</v>
      </c>
      <c r="AE6" s="41">
        <v>48720672.05</v>
      </c>
      <c r="AF6" s="41">
        <v>0</v>
      </c>
      <c r="AG6" s="41">
        <v>930150.51</v>
      </c>
      <c r="AH6" s="15">
        <f>SUM(X6+Y6+Z6+AA6+AB6+AC6+AD6+AE6+AF6+AG6)</f>
        <v>102921410.34</v>
      </c>
      <c r="AI6" s="77">
        <v>80913000</v>
      </c>
      <c r="AJ6" s="77">
        <v>10214000</v>
      </c>
      <c r="AK6" s="77">
        <v>102999300</v>
      </c>
      <c r="AL6" s="77">
        <v>53764530</v>
      </c>
      <c r="AM6" s="77">
        <v>14091400</v>
      </c>
      <c r="AN6" s="77">
        <v>98294150</v>
      </c>
      <c r="AO6" s="13">
        <f aca="true" t="shared" si="1" ref="AO6:AO27">SUM(AI6:AN6)</f>
        <v>360276380</v>
      </c>
      <c r="AP6" s="101">
        <v>0</v>
      </c>
      <c r="AQ6" s="78">
        <v>12575953.99</v>
      </c>
      <c r="AR6" s="78">
        <v>60000</v>
      </c>
      <c r="AS6" s="61">
        <f aca="true" t="shared" si="2" ref="AS6:AS27">SUM(AP6:AR6)</f>
        <v>12635953.99</v>
      </c>
      <c r="AT6" s="77">
        <v>79000</v>
      </c>
      <c r="AU6" s="77">
        <v>135500</v>
      </c>
      <c r="AV6" s="77">
        <v>0</v>
      </c>
      <c r="AW6" s="77">
        <v>0</v>
      </c>
      <c r="AX6" s="77">
        <v>0</v>
      </c>
      <c r="AY6" s="77">
        <v>0</v>
      </c>
      <c r="AZ6" s="77">
        <v>0</v>
      </c>
      <c r="BA6" s="77">
        <v>0</v>
      </c>
      <c r="BB6" s="77"/>
      <c r="BC6" s="77"/>
      <c r="BD6" s="77"/>
      <c r="BE6" s="77">
        <v>0</v>
      </c>
      <c r="BF6" s="77">
        <v>0</v>
      </c>
      <c r="BG6" s="77">
        <v>0</v>
      </c>
      <c r="BH6" s="77">
        <v>0</v>
      </c>
      <c r="BI6" s="77">
        <v>0</v>
      </c>
      <c r="BJ6" s="77">
        <v>0</v>
      </c>
      <c r="BK6" s="77">
        <v>0</v>
      </c>
      <c r="BL6" s="79">
        <f>SUM(AV6:BK6)</f>
        <v>0</v>
      </c>
      <c r="BM6" s="77"/>
      <c r="BN6" s="77">
        <v>0</v>
      </c>
      <c r="BO6" s="77">
        <v>0</v>
      </c>
      <c r="BP6" s="30"/>
      <c r="BQ6" s="42"/>
      <c r="BR6" s="42"/>
      <c r="BS6" s="32">
        <f>ROUND(X6/I6*100,3)</f>
        <v>0.528</v>
      </c>
      <c r="BT6" s="32">
        <f>ROUND(Y6/I6*100,3)</f>
        <v>0</v>
      </c>
      <c r="BU6" s="32">
        <f>ROUND(Z6/I6*100,3)</f>
        <v>0</v>
      </c>
      <c r="BV6" s="32">
        <f>ROUND(AA6/I6*100,3)</f>
        <v>0.016</v>
      </c>
      <c r="BW6" s="32">
        <f>ROUND(AB6/I6*100,3)</f>
        <v>1.44</v>
      </c>
      <c r="BX6" s="32">
        <f>ROUND(AC6/I6*100,3)</f>
        <v>0</v>
      </c>
      <c r="BY6" s="32">
        <f>ROUND(AD6/I6*100,3)</f>
        <v>0</v>
      </c>
      <c r="BZ6" s="32">
        <f>ROUND(AE6/I6*100,3)</f>
        <v>1.815</v>
      </c>
      <c r="CA6" s="32">
        <f>ROUND(AF6/I6*100,3)</f>
        <v>0</v>
      </c>
      <c r="CB6" s="32">
        <f>ROUND(AG6/I6*100,3)</f>
        <v>0.035</v>
      </c>
      <c r="CC6" s="32">
        <f aca="true" t="shared" si="3" ref="CC6:CC27">ROUNDUP(AH6/I6*100,3)</f>
        <v>3.834</v>
      </c>
      <c r="CD6" s="113">
        <f aca="true" t="shared" si="4" ref="CD6:CD27">K6</f>
        <v>96.3</v>
      </c>
      <c r="CE6" s="32">
        <f aca="true" t="shared" si="5" ref="CE6:CE20">AH6/P6*100</f>
        <v>3.6584311272182513</v>
      </c>
      <c r="CF6" s="80"/>
      <c r="CG6" s="77"/>
      <c r="CH6" s="77"/>
      <c r="CI6" s="77"/>
      <c r="CJ6" s="56"/>
      <c r="CK6" s="105" t="s">
        <v>178</v>
      </c>
      <c r="CL6" s="44" t="s">
        <v>179</v>
      </c>
      <c r="CM6" s="58">
        <v>158718900</v>
      </c>
      <c r="CN6" s="110">
        <v>365053.47</v>
      </c>
      <c r="CO6" s="102">
        <f>ROUNDUP(CN6/(CM6/100),3)</f>
        <v>0.23</v>
      </c>
    </row>
    <row r="7" spans="1:93" s="5" customFormat="1" ht="17.25" customHeight="1">
      <c r="A7" s="59" t="s">
        <v>27</v>
      </c>
      <c r="B7" s="37" t="s">
        <v>28</v>
      </c>
      <c r="C7" s="34">
        <v>1805504300</v>
      </c>
      <c r="D7" s="34">
        <v>2235708800</v>
      </c>
      <c r="E7" s="8">
        <f aca="true" t="shared" si="6" ref="E7:E27">C7+D7</f>
        <v>4041213100</v>
      </c>
      <c r="F7" s="38">
        <v>16660000</v>
      </c>
      <c r="G7" s="51">
        <f aca="true" t="shared" si="7" ref="G7:G27">E7-F7</f>
        <v>4024553100</v>
      </c>
      <c r="H7" s="35">
        <v>6989100</v>
      </c>
      <c r="I7" s="8">
        <f aca="true" t="shared" si="8" ref="I7:I27">G7+H7</f>
        <v>4031542200</v>
      </c>
      <c r="J7" s="57">
        <f aca="true" t="shared" si="9" ref="J7:J27">CC7</f>
        <v>3.86</v>
      </c>
      <c r="K7" s="112">
        <v>95.31</v>
      </c>
      <c r="L7" s="40"/>
      <c r="M7" s="35"/>
      <c r="N7" s="72"/>
      <c r="O7" s="73">
        <v>226580309</v>
      </c>
      <c r="P7" s="8">
        <f aca="true" t="shared" si="10" ref="P7:P27">I7-L7+M7-N7+O7</f>
        <v>4258122509</v>
      </c>
      <c r="Q7" s="14">
        <f t="shared" si="0"/>
        <v>21587152.45</v>
      </c>
      <c r="R7" s="64"/>
      <c r="S7" s="64"/>
      <c r="T7" s="74">
        <v>87048.25</v>
      </c>
      <c r="U7" s="74"/>
      <c r="V7" s="75">
        <f aca="true" t="shared" si="11" ref="V7:V27">Q7-R7+S7-T7+U7</f>
        <v>21500104.2</v>
      </c>
      <c r="W7" s="42">
        <v>0</v>
      </c>
      <c r="X7" s="16">
        <f aca="true" t="shared" si="12" ref="X7:X27">V7-W7</f>
        <v>21500104.2</v>
      </c>
      <c r="Y7" s="76">
        <v>0</v>
      </c>
      <c r="Z7" s="76">
        <v>0</v>
      </c>
      <c r="AA7" s="43">
        <v>642193.13</v>
      </c>
      <c r="AB7" s="41">
        <v>73242040</v>
      </c>
      <c r="AC7" s="41">
        <v>0</v>
      </c>
      <c r="AD7" s="41">
        <v>0</v>
      </c>
      <c r="AE7" s="41">
        <v>58598282.48</v>
      </c>
      <c r="AF7" s="41">
        <v>201577.11</v>
      </c>
      <c r="AG7" s="41">
        <v>1415437</v>
      </c>
      <c r="AH7" s="15">
        <f aca="true" t="shared" si="13" ref="AH7:AH26">SUM(X7+Y7+Z7+AA7+AB7+AC7+AD7+AE7+AF7+AG7)</f>
        <v>155599633.92000002</v>
      </c>
      <c r="AI7" s="77">
        <v>115240600</v>
      </c>
      <c r="AJ7" s="77">
        <v>85417600</v>
      </c>
      <c r="AK7" s="77">
        <v>125039300</v>
      </c>
      <c r="AL7" s="77">
        <v>83405100</v>
      </c>
      <c r="AM7" s="77">
        <v>12360500</v>
      </c>
      <c r="AN7" s="77">
        <v>55261800</v>
      </c>
      <c r="AO7" s="13">
        <f t="shared" si="1"/>
        <v>476724900</v>
      </c>
      <c r="AP7" s="78">
        <v>5000000</v>
      </c>
      <c r="AQ7" s="78">
        <v>11763572.82</v>
      </c>
      <c r="AR7" s="78">
        <v>2200000</v>
      </c>
      <c r="AS7" s="61">
        <f t="shared" si="2"/>
        <v>18963572.82</v>
      </c>
      <c r="AT7" s="77">
        <v>50250</v>
      </c>
      <c r="AU7" s="77">
        <v>181750</v>
      </c>
      <c r="AV7" s="77">
        <v>0</v>
      </c>
      <c r="AW7" s="77">
        <v>0</v>
      </c>
      <c r="AX7" s="77">
        <v>0</v>
      </c>
      <c r="AY7" s="77">
        <v>0</v>
      </c>
      <c r="AZ7" s="77">
        <v>0</v>
      </c>
      <c r="BA7" s="77">
        <v>0</v>
      </c>
      <c r="BB7" s="77"/>
      <c r="BC7" s="77"/>
      <c r="BD7" s="77"/>
      <c r="BE7" s="77">
        <v>0</v>
      </c>
      <c r="BF7" s="77">
        <v>4650700</v>
      </c>
      <c r="BG7" s="77">
        <v>0</v>
      </c>
      <c r="BH7" s="77">
        <v>0</v>
      </c>
      <c r="BI7" s="77">
        <v>11686700</v>
      </c>
      <c r="BJ7" s="77">
        <v>0</v>
      </c>
      <c r="BK7" s="77">
        <v>322600</v>
      </c>
      <c r="BL7" s="79">
        <f aca="true" t="shared" si="14" ref="BL7:BL27">SUM(AV7:BK7)</f>
        <v>16660000</v>
      </c>
      <c r="BM7" s="77"/>
      <c r="BN7" s="77">
        <v>0</v>
      </c>
      <c r="BO7" s="77">
        <v>0</v>
      </c>
      <c r="BP7" s="30"/>
      <c r="BQ7" s="42"/>
      <c r="BR7" s="42"/>
      <c r="BS7" s="32">
        <f>ROUND(X7/I7*100,3)+0.001</f>
        <v>0.534</v>
      </c>
      <c r="BT7" s="32">
        <f aca="true" t="shared" si="15" ref="BT7:BT27">ROUND(Y7/I7*100,3)</f>
        <v>0</v>
      </c>
      <c r="BU7" s="32">
        <f aca="true" t="shared" si="16" ref="BU7:BU27">ROUND(Z7/I7*100,3)</f>
        <v>0</v>
      </c>
      <c r="BV7" s="32">
        <f aca="true" t="shared" si="17" ref="BV7:BV27">ROUND(AA7/I7*100,3)</f>
        <v>0.016</v>
      </c>
      <c r="BW7" s="32">
        <f aca="true" t="shared" si="18" ref="BW7:BW27">ROUND(AB7/I7*100,3)</f>
        <v>1.817</v>
      </c>
      <c r="BX7" s="32">
        <f aca="true" t="shared" si="19" ref="BX7:BX27">ROUND(AC7/I7*100,3)</f>
        <v>0</v>
      </c>
      <c r="BY7" s="32">
        <f aca="true" t="shared" si="20" ref="BY7:BY27">ROUND(AD7/I7*100,3)</f>
        <v>0</v>
      </c>
      <c r="BZ7" s="32">
        <f aca="true" t="shared" si="21" ref="BZ7:BZ27">ROUND(AE7/I7*100,3)</f>
        <v>1.453</v>
      </c>
      <c r="CA7" s="32">
        <f aca="true" t="shared" si="22" ref="CA7:CA27">ROUND(AF7/I7*100,3)</f>
        <v>0.005</v>
      </c>
      <c r="CB7" s="32">
        <f aca="true" t="shared" si="23" ref="CB7:CB26">ROUND(AG7/I7*100,3)</f>
        <v>0.035</v>
      </c>
      <c r="CC7" s="32">
        <f t="shared" si="3"/>
        <v>3.86</v>
      </c>
      <c r="CD7" s="113">
        <f t="shared" si="4"/>
        <v>95.31</v>
      </c>
      <c r="CE7" s="32">
        <f t="shared" si="5"/>
        <v>3.654184058610889</v>
      </c>
      <c r="CF7" s="80"/>
      <c r="CG7" s="77"/>
      <c r="CH7" s="77"/>
      <c r="CI7" s="77"/>
      <c r="CJ7" s="56"/>
      <c r="CK7" s="105" t="s">
        <v>180</v>
      </c>
      <c r="CL7" s="44" t="s">
        <v>181</v>
      </c>
      <c r="CM7" s="58">
        <v>2216721600</v>
      </c>
      <c r="CN7" s="110">
        <v>1567152</v>
      </c>
      <c r="CO7" s="102">
        <f>ROUNDUP(CN7/(CM7/100),3)</f>
        <v>0.07100000000000001</v>
      </c>
    </row>
    <row r="8" spans="1:93" s="5" customFormat="1" ht="17.25" customHeight="1">
      <c r="A8" s="59" t="s">
        <v>29</v>
      </c>
      <c r="B8" s="37" t="s">
        <v>30</v>
      </c>
      <c r="C8" s="34">
        <v>561282800</v>
      </c>
      <c r="D8" s="34">
        <v>430905100</v>
      </c>
      <c r="E8" s="8">
        <f t="shared" si="6"/>
        <v>992187900</v>
      </c>
      <c r="F8" s="38">
        <v>0</v>
      </c>
      <c r="G8" s="51">
        <f t="shared" si="7"/>
        <v>992187900</v>
      </c>
      <c r="H8" s="35">
        <v>3177900</v>
      </c>
      <c r="I8" s="8">
        <f t="shared" si="8"/>
        <v>995365800</v>
      </c>
      <c r="J8" s="57">
        <f t="shared" si="9"/>
        <v>2.7119999999999997</v>
      </c>
      <c r="K8" s="112">
        <v>89.89</v>
      </c>
      <c r="L8" s="40"/>
      <c r="M8" s="35"/>
      <c r="N8" s="72"/>
      <c r="O8" s="73">
        <v>116597338</v>
      </c>
      <c r="P8" s="8">
        <f t="shared" si="10"/>
        <v>1111963138</v>
      </c>
      <c r="Q8" s="14">
        <f t="shared" si="0"/>
        <v>5637253.91</v>
      </c>
      <c r="R8" s="64"/>
      <c r="S8" s="64"/>
      <c r="T8" s="74">
        <v>6393.47</v>
      </c>
      <c r="U8" s="74"/>
      <c r="V8" s="75">
        <f t="shared" si="11"/>
        <v>5630860.44</v>
      </c>
      <c r="W8" s="42">
        <v>0</v>
      </c>
      <c r="X8" s="16">
        <f t="shared" si="12"/>
        <v>5630860.44</v>
      </c>
      <c r="Y8" s="76">
        <v>0</v>
      </c>
      <c r="Z8" s="76">
        <v>0</v>
      </c>
      <c r="AA8" s="43">
        <v>168242.3</v>
      </c>
      <c r="AB8" s="41">
        <v>0</v>
      </c>
      <c r="AC8" s="41">
        <v>13681544</v>
      </c>
      <c r="AD8" s="41">
        <v>0</v>
      </c>
      <c r="AE8" s="41">
        <v>7033270.78</v>
      </c>
      <c r="AF8" s="41">
        <v>99536.59</v>
      </c>
      <c r="AG8" s="41">
        <v>373516.71</v>
      </c>
      <c r="AH8" s="15">
        <f t="shared" si="13"/>
        <v>26986970.820000004</v>
      </c>
      <c r="AI8" s="77">
        <v>14810900</v>
      </c>
      <c r="AJ8" s="77">
        <v>46835100</v>
      </c>
      <c r="AK8" s="77">
        <v>17579500</v>
      </c>
      <c r="AL8" s="77">
        <v>27138300</v>
      </c>
      <c r="AM8" s="77">
        <v>7589400</v>
      </c>
      <c r="AN8" s="77">
        <v>14362300</v>
      </c>
      <c r="AO8" s="13">
        <f t="shared" si="1"/>
        <v>128315500</v>
      </c>
      <c r="AP8" s="78">
        <v>445837.5</v>
      </c>
      <c r="AQ8" s="78">
        <v>4019749.25</v>
      </c>
      <c r="AR8" s="78">
        <v>0</v>
      </c>
      <c r="AS8" s="61">
        <f t="shared" si="2"/>
        <v>4465586.75</v>
      </c>
      <c r="AT8" s="77">
        <v>3750</v>
      </c>
      <c r="AU8" s="77">
        <v>35250</v>
      </c>
      <c r="AV8" s="77">
        <v>0</v>
      </c>
      <c r="AW8" s="77">
        <v>0</v>
      </c>
      <c r="AX8" s="77">
        <v>0</v>
      </c>
      <c r="AY8" s="77">
        <v>0</v>
      </c>
      <c r="AZ8" s="77">
        <v>0</v>
      </c>
      <c r="BA8" s="77">
        <v>0</v>
      </c>
      <c r="BB8" s="77"/>
      <c r="BC8" s="77"/>
      <c r="BD8" s="77"/>
      <c r="BE8" s="77">
        <v>0</v>
      </c>
      <c r="BF8" s="77">
        <v>0</v>
      </c>
      <c r="BG8" s="77">
        <v>0</v>
      </c>
      <c r="BH8" s="77">
        <v>0</v>
      </c>
      <c r="BI8" s="77">
        <v>0</v>
      </c>
      <c r="BJ8" s="77">
        <v>0</v>
      </c>
      <c r="BK8" s="77">
        <v>0</v>
      </c>
      <c r="BL8" s="79">
        <f t="shared" si="14"/>
        <v>0</v>
      </c>
      <c r="BM8" s="77"/>
      <c r="BN8" s="77">
        <v>0</v>
      </c>
      <c r="BO8" s="77">
        <v>0</v>
      </c>
      <c r="BP8" s="30"/>
      <c r="BQ8" s="42"/>
      <c r="BR8" s="42"/>
      <c r="BS8" s="32">
        <f aca="true" t="shared" si="24" ref="BS8:BS25">ROUND(X8/I8*100,3)</f>
        <v>0.566</v>
      </c>
      <c r="BT8" s="32">
        <f t="shared" si="15"/>
        <v>0</v>
      </c>
      <c r="BU8" s="32">
        <f t="shared" si="16"/>
        <v>0</v>
      </c>
      <c r="BV8" s="32">
        <f t="shared" si="17"/>
        <v>0.017</v>
      </c>
      <c r="BW8" s="32">
        <f t="shared" si="18"/>
        <v>0</v>
      </c>
      <c r="BX8" s="32">
        <f t="shared" si="19"/>
        <v>1.375</v>
      </c>
      <c r="BY8" s="32">
        <f t="shared" si="20"/>
        <v>0</v>
      </c>
      <c r="BZ8" s="32">
        <f t="shared" si="21"/>
        <v>0.707</v>
      </c>
      <c r="CA8" s="32">
        <f t="shared" si="22"/>
        <v>0.01</v>
      </c>
      <c r="CB8" s="32">
        <f>ROUNDUP(AG8/I8*100,3)-0.001</f>
        <v>0.037</v>
      </c>
      <c r="CC8" s="32">
        <f t="shared" si="3"/>
        <v>2.7119999999999997</v>
      </c>
      <c r="CD8" s="113">
        <f t="shared" si="4"/>
        <v>89.89</v>
      </c>
      <c r="CE8" s="32">
        <f t="shared" si="5"/>
        <v>2.4269663172953133</v>
      </c>
      <c r="CF8" s="80"/>
      <c r="CG8" s="77"/>
      <c r="CH8" s="77"/>
      <c r="CI8" s="77"/>
      <c r="CJ8" s="56"/>
      <c r="CK8" s="105" t="s">
        <v>182</v>
      </c>
      <c r="CL8" s="44" t="s">
        <v>179</v>
      </c>
      <c r="CM8" s="58">
        <v>57891500</v>
      </c>
      <c r="CN8" s="110">
        <v>59084</v>
      </c>
      <c r="CO8" s="102">
        <f>ROUND(CN8/(CM8/100),3)</f>
        <v>0.102</v>
      </c>
    </row>
    <row r="9" spans="1:93" s="5" customFormat="1" ht="17.25" customHeight="1">
      <c r="A9" s="59" t="s">
        <v>31</v>
      </c>
      <c r="B9" s="37" t="s">
        <v>32</v>
      </c>
      <c r="C9" s="34">
        <v>1140200300</v>
      </c>
      <c r="D9" s="34">
        <v>1075045300</v>
      </c>
      <c r="E9" s="8">
        <f t="shared" si="6"/>
        <v>2215245600</v>
      </c>
      <c r="F9" s="38">
        <v>0</v>
      </c>
      <c r="G9" s="51">
        <f t="shared" si="7"/>
        <v>2215245600</v>
      </c>
      <c r="H9" s="35">
        <v>1476000</v>
      </c>
      <c r="I9" s="8">
        <f t="shared" si="8"/>
        <v>2216721600</v>
      </c>
      <c r="J9" s="57">
        <f t="shared" si="9"/>
        <v>2.226</v>
      </c>
      <c r="K9" s="112">
        <v>95.43</v>
      </c>
      <c r="L9" s="40"/>
      <c r="M9" s="35"/>
      <c r="N9" s="72"/>
      <c r="O9" s="73">
        <v>113698758</v>
      </c>
      <c r="P9" s="8">
        <f t="shared" si="10"/>
        <v>2330420358</v>
      </c>
      <c r="Q9" s="14">
        <f t="shared" si="0"/>
        <v>11814394.59</v>
      </c>
      <c r="R9" s="64"/>
      <c r="S9" s="64"/>
      <c r="T9" s="74">
        <v>24819.6</v>
      </c>
      <c r="U9" s="74"/>
      <c r="V9" s="75">
        <f t="shared" si="11"/>
        <v>11789574.99</v>
      </c>
      <c r="W9" s="42">
        <v>0</v>
      </c>
      <c r="X9" s="16">
        <f t="shared" si="12"/>
        <v>11789574.99</v>
      </c>
      <c r="Y9" s="76">
        <v>0</v>
      </c>
      <c r="Z9" s="76">
        <v>0</v>
      </c>
      <c r="AA9" s="43">
        <v>352184.76</v>
      </c>
      <c r="AB9" s="41">
        <v>26869964</v>
      </c>
      <c r="AC9" s="41">
        <v>0</v>
      </c>
      <c r="AD9" s="41">
        <v>0</v>
      </c>
      <c r="AE9" s="41">
        <v>9550342.18</v>
      </c>
      <c r="AF9" s="41">
        <v>0</v>
      </c>
      <c r="AG9" s="41">
        <v>769808.71</v>
      </c>
      <c r="AH9" s="15">
        <f t="shared" si="13"/>
        <v>49331874.64</v>
      </c>
      <c r="AI9" s="77">
        <v>44512800</v>
      </c>
      <c r="AJ9" s="77">
        <v>0</v>
      </c>
      <c r="AK9" s="77">
        <v>101318000</v>
      </c>
      <c r="AL9" s="77">
        <v>42777700</v>
      </c>
      <c r="AM9" s="77">
        <v>0</v>
      </c>
      <c r="AN9" s="77">
        <v>11467900</v>
      </c>
      <c r="AO9" s="13">
        <f t="shared" si="1"/>
        <v>200076400</v>
      </c>
      <c r="AP9" s="78">
        <v>1055000</v>
      </c>
      <c r="AQ9" s="78">
        <v>2333686.09</v>
      </c>
      <c r="AR9" s="78">
        <v>375000</v>
      </c>
      <c r="AS9" s="61">
        <f t="shared" si="2"/>
        <v>3763686.09</v>
      </c>
      <c r="AT9" s="77">
        <v>9500</v>
      </c>
      <c r="AU9" s="77">
        <v>87500</v>
      </c>
      <c r="AV9" s="77">
        <v>0</v>
      </c>
      <c r="AW9" s="77">
        <v>0</v>
      </c>
      <c r="AX9" s="77">
        <v>0</v>
      </c>
      <c r="AY9" s="77">
        <v>0</v>
      </c>
      <c r="AZ9" s="77">
        <v>0</v>
      </c>
      <c r="BA9" s="77">
        <v>0</v>
      </c>
      <c r="BB9" s="77"/>
      <c r="BC9" s="77"/>
      <c r="BD9" s="77"/>
      <c r="BE9" s="77">
        <v>0</v>
      </c>
      <c r="BF9" s="77">
        <v>0</v>
      </c>
      <c r="BG9" s="77">
        <v>0</v>
      </c>
      <c r="BH9" s="77">
        <v>0</v>
      </c>
      <c r="BI9" s="77">
        <v>0</v>
      </c>
      <c r="BJ9" s="77">
        <v>0</v>
      </c>
      <c r="BK9" s="77">
        <v>0</v>
      </c>
      <c r="BL9" s="79">
        <f t="shared" si="14"/>
        <v>0</v>
      </c>
      <c r="BM9" s="77"/>
      <c r="BN9" s="77">
        <v>0</v>
      </c>
      <c r="BO9" s="77">
        <v>0</v>
      </c>
      <c r="BP9" s="30"/>
      <c r="BQ9" s="42"/>
      <c r="BR9" s="42"/>
      <c r="BS9" s="32">
        <f t="shared" si="24"/>
        <v>0.532</v>
      </c>
      <c r="BT9" s="32">
        <f t="shared" si="15"/>
        <v>0</v>
      </c>
      <c r="BU9" s="32">
        <f t="shared" si="16"/>
        <v>0</v>
      </c>
      <c r="BV9" s="32">
        <f t="shared" si="17"/>
        <v>0.016</v>
      </c>
      <c r="BW9" s="32">
        <f t="shared" si="18"/>
        <v>1.212</v>
      </c>
      <c r="BX9" s="32">
        <f t="shared" si="19"/>
        <v>0</v>
      </c>
      <c r="BY9" s="32">
        <f t="shared" si="20"/>
        <v>0</v>
      </c>
      <c r="BZ9" s="32">
        <f t="shared" si="21"/>
        <v>0.431</v>
      </c>
      <c r="CA9" s="32">
        <f t="shared" si="22"/>
        <v>0</v>
      </c>
      <c r="CB9" s="32">
        <f t="shared" si="23"/>
        <v>0.035</v>
      </c>
      <c r="CC9" s="32">
        <f t="shared" si="3"/>
        <v>2.226</v>
      </c>
      <c r="CD9" s="113">
        <f t="shared" si="4"/>
        <v>95.43</v>
      </c>
      <c r="CE9" s="32">
        <f t="shared" si="5"/>
        <v>2.116865932390726</v>
      </c>
      <c r="CF9" s="80"/>
      <c r="CG9" s="77"/>
      <c r="CH9" s="77"/>
      <c r="CI9" s="77"/>
      <c r="CJ9" s="56"/>
      <c r="CK9" s="105" t="s">
        <v>183</v>
      </c>
      <c r="CL9" s="44" t="s">
        <v>179</v>
      </c>
      <c r="CM9" s="58">
        <v>277203500</v>
      </c>
      <c r="CN9" s="110">
        <v>170907.05</v>
      </c>
      <c r="CO9" s="102">
        <f>ROUNDUP(CN9/(CM9/100),3)</f>
        <v>0.062</v>
      </c>
    </row>
    <row r="10" spans="1:93" s="5" customFormat="1" ht="17.25" customHeight="1">
      <c r="A10" s="59" t="s">
        <v>33</v>
      </c>
      <c r="B10" s="37" t="s">
        <v>34</v>
      </c>
      <c r="C10" s="34">
        <v>677225400</v>
      </c>
      <c r="D10" s="34">
        <v>1808162500</v>
      </c>
      <c r="E10" s="8">
        <f t="shared" si="6"/>
        <v>2485387900</v>
      </c>
      <c r="F10" s="38">
        <v>10635300</v>
      </c>
      <c r="G10" s="51">
        <f t="shared" si="7"/>
        <v>2474752600</v>
      </c>
      <c r="H10" s="35">
        <v>6519347</v>
      </c>
      <c r="I10" s="8">
        <f t="shared" si="8"/>
        <v>2481271947</v>
      </c>
      <c r="J10" s="57">
        <f t="shared" si="9"/>
        <v>5.103000000000001</v>
      </c>
      <c r="K10" s="112">
        <v>91.95</v>
      </c>
      <c r="L10" s="40"/>
      <c r="M10" s="35"/>
      <c r="N10" s="72"/>
      <c r="O10" s="73">
        <v>248361539</v>
      </c>
      <c r="P10" s="8">
        <f t="shared" si="10"/>
        <v>2729633486</v>
      </c>
      <c r="Q10" s="14">
        <f t="shared" si="0"/>
        <v>13838261.84</v>
      </c>
      <c r="R10" s="64"/>
      <c r="S10" s="64"/>
      <c r="T10" s="74">
        <v>63992.63</v>
      </c>
      <c r="U10" s="74"/>
      <c r="V10" s="75">
        <f t="shared" si="11"/>
        <v>13774269.209999999</v>
      </c>
      <c r="W10" s="42">
        <v>0</v>
      </c>
      <c r="X10" s="16">
        <f t="shared" si="12"/>
        <v>13774269.209999999</v>
      </c>
      <c r="Y10" s="76">
        <v>0</v>
      </c>
      <c r="Z10" s="76">
        <v>0</v>
      </c>
      <c r="AA10" s="43">
        <v>411418.62</v>
      </c>
      <c r="AB10" s="41">
        <v>21580904</v>
      </c>
      <c r="AC10" s="41">
        <v>0</v>
      </c>
      <c r="AD10" s="41">
        <v>0</v>
      </c>
      <c r="AE10" s="41">
        <v>89447376.18</v>
      </c>
      <c r="AF10" s="41">
        <v>494950.52</v>
      </c>
      <c r="AG10" s="41">
        <v>902814.48</v>
      </c>
      <c r="AH10" s="15">
        <f t="shared" si="13"/>
        <v>126611733.01</v>
      </c>
      <c r="AI10" s="77">
        <v>285899500</v>
      </c>
      <c r="AJ10" s="77">
        <v>26545000</v>
      </c>
      <c r="AK10" s="77">
        <v>408588560</v>
      </c>
      <c r="AL10" s="77">
        <v>150881100</v>
      </c>
      <c r="AM10" s="77">
        <v>3565600</v>
      </c>
      <c r="AN10" s="77">
        <v>174649700</v>
      </c>
      <c r="AO10" s="13">
        <f t="shared" si="1"/>
        <v>1050129460</v>
      </c>
      <c r="AP10" s="78">
        <v>4270000</v>
      </c>
      <c r="AQ10" s="78">
        <v>40264400.13</v>
      </c>
      <c r="AR10" s="78">
        <v>6100000</v>
      </c>
      <c r="AS10" s="61">
        <f t="shared" si="2"/>
        <v>50634400.13</v>
      </c>
      <c r="AT10" s="77">
        <v>34500</v>
      </c>
      <c r="AU10" s="77">
        <v>100750</v>
      </c>
      <c r="AV10" s="77">
        <v>0</v>
      </c>
      <c r="AW10" s="77">
        <v>0</v>
      </c>
      <c r="AX10" s="77">
        <v>0</v>
      </c>
      <c r="AY10" s="77">
        <v>0</v>
      </c>
      <c r="AZ10" s="77">
        <v>0</v>
      </c>
      <c r="BA10" s="77">
        <v>0</v>
      </c>
      <c r="BB10" s="77"/>
      <c r="BC10" s="77"/>
      <c r="BD10" s="77"/>
      <c r="BE10" s="77">
        <v>2063800</v>
      </c>
      <c r="BF10" s="77">
        <v>141000</v>
      </c>
      <c r="BG10" s="77">
        <v>0</v>
      </c>
      <c r="BH10" s="77">
        <v>578900</v>
      </c>
      <c r="BI10" s="77">
        <v>7851600</v>
      </c>
      <c r="BJ10" s="77">
        <v>0</v>
      </c>
      <c r="BK10" s="77">
        <v>0</v>
      </c>
      <c r="BL10" s="79">
        <f t="shared" si="14"/>
        <v>10635300</v>
      </c>
      <c r="BM10" s="77"/>
      <c r="BN10" s="77">
        <v>120467</v>
      </c>
      <c r="BO10" s="77">
        <v>0</v>
      </c>
      <c r="BP10" s="30"/>
      <c r="BQ10" s="42"/>
      <c r="BR10" s="42"/>
      <c r="BS10" s="32">
        <f t="shared" si="24"/>
        <v>0.555</v>
      </c>
      <c r="BT10" s="32">
        <f t="shared" si="15"/>
        <v>0</v>
      </c>
      <c r="BU10" s="32">
        <f t="shared" si="16"/>
        <v>0</v>
      </c>
      <c r="BV10" s="32">
        <f t="shared" si="17"/>
        <v>0.017</v>
      </c>
      <c r="BW10" s="32">
        <f t="shared" si="18"/>
        <v>0.87</v>
      </c>
      <c r="BX10" s="32">
        <f t="shared" si="19"/>
        <v>0</v>
      </c>
      <c r="BY10" s="32">
        <f t="shared" si="20"/>
        <v>0</v>
      </c>
      <c r="BZ10" s="32">
        <f t="shared" si="21"/>
        <v>3.605</v>
      </c>
      <c r="CA10" s="32">
        <f t="shared" si="22"/>
        <v>0.02</v>
      </c>
      <c r="CB10" s="32">
        <f t="shared" si="23"/>
        <v>0.036</v>
      </c>
      <c r="CC10" s="32">
        <f t="shared" si="3"/>
        <v>5.103000000000001</v>
      </c>
      <c r="CD10" s="113">
        <f t="shared" si="4"/>
        <v>91.95</v>
      </c>
      <c r="CE10" s="32">
        <f t="shared" si="5"/>
        <v>4.638415144721009</v>
      </c>
      <c r="CF10" s="80"/>
      <c r="CG10" s="77"/>
      <c r="CH10" s="77"/>
      <c r="CI10" s="77"/>
      <c r="CJ10" s="56"/>
      <c r="CK10" s="105" t="s">
        <v>183</v>
      </c>
      <c r="CL10" s="44" t="s">
        <v>184</v>
      </c>
      <c r="CM10" s="58">
        <v>811721878</v>
      </c>
      <c r="CN10" s="110">
        <v>198373.83</v>
      </c>
      <c r="CO10" s="102">
        <f>ROUNDUP(CN10/(CM10/100),3)</f>
        <v>0.025</v>
      </c>
    </row>
    <row r="11" spans="1:93" s="5" customFormat="1" ht="17.25" customHeight="1">
      <c r="A11" s="59" t="s">
        <v>35</v>
      </c>
      <c r="B11" s="37" t="s">
        <v>175</v>
      </c>
      <c r="C11" s="34">
        <v>394331800</v>
      </c>
      <c r="D11" s="34">
        <v>357425000</v>
      </c>
      <c r="E11" s="8">
        <f t="shared" si="6"/>
        <v>751756800</v>
      </c>
      <c r="F11" s="38">
        <v>0</v>
      </c>
      <c r="G11" s="51">
        <f t="shared" si="7"/>
        <v>751756800</v>
      </c>
      <c r="H11" s="35">
        <v>202000</v>
      </c>
      <c r="I11" s="8">
        <f t="shared" si="8"/>
        <v>751958800</v>
      </c>
      <c r="J11" s="57">
        <f t="shared" si="9"/>
        <v>2.0309999999999997</v>
      </c>
      <c r="K11" s="112">
        <v>98.41</v>
      </c>
      <c r="L11" s="40"/>
      <c r="M11" s="35"/>
      <c r="N11" s="72"/>
      <c r="O11" s="73">
        <v>12443037</v>
      </c>
      <c r="P11" s="8">
        <f t="shared" si="10"/>
        <v>764401837</v>
      </c>
      <c r="Q11" s="14">
        <f t="shared" si="0"/>
        <v>3875242.89</v>
      </c>
      <c r="R11" s="64"/>
      <c r="S11" s="64"/>
      <c r="T11" s="74">
        <v>18529.97</v>
      </c>
      <c r="U11" s="74"/>
      <c r="V11" s="75">
        <f t="shared" si="11"/>
        <v>3856712.92</v>
      </c>
      <c r="W11" s="42">
        <v>0</v>
      </c>
      <c r="X11" s="16">
        <f t="shared" si="12"/>
        <v>3856712.92</v>
      </c>
      <c r="Y11" s="76">
        <v>0</v>
      </c>
      <c r="Z11" s="76">
        <v>0</v>
      </c>
      <c r="AA11" s="43">
        <v>115204.01</v>
      </c>
      <c r="AB11" s="41">
        <v>4360455</v>
      </c>
      <c r="AC11" s="41">
        <v>3230320</v>
      </c>
      <c r="AD11" s="41">
        <v>0</v>
      </c>
      <c r="AE11" s="41">
        <v>3706760.57</v>
      </c>
      <c r="AF11" s="41">
        <v>0</v>
      </c>
      <c r="AG11" s="41">
        <v>0</v>
      </c>
      <c r="AH11" s="15">
        <f t="shared" si="13"/>
        <v>15269452.5</v>
      </c>
      <c r="AI11" s="77">
        <v>6726400</v>
      </c>
      <c r="AJ11" s="77">
        <v>2213000</v>
      </c>
      <c r="AK11" s="77">
        <v>91397300</v>
      </c>
      <c r="AL11" s="77">
        <v>8216700</v>
      </c>
      <c r="AM11" s="77">
        <v>0</v>
      </c>
      <c r="AN11" s="77">
        <v>0</v>
      </c>
      <c r="AO11" s="13">
        <f t="shared" si="1"/>
        <v>108553400</v>
      </c>
      <c r="AP11" s="78">
        <v>225000</v>
      </c>
      <c r="AQ11" s="78">
        <v>1133714</v>
      </c>
      <c r="AR11" s="78">
        <v>204152.83</v>
      </c>
      <c r="AS11" s="61">
        <f t="shared" si="2"/>
        <v>1562866.83</v>
      </c>
      <c r="AT11" s="77">
        <v>0</v>
      </c>
      <c r="AU11" s="77">
        <v>9500</v>
      </c>
      <c r="AV11" s="77">
        <v>0</v>
      </c>
      <c r="AW11" s="77">
        <v>0</v>
      </c>
      <c r="AX11" s="77">
        <v>0</v>
      </c>
      <c r="AY11" s="77">
        <v>0</v>
      </c>
      <c r="AZ11" s="77">
        <v>0</v>
      </c>
      <c r="BA11" s="77">
        <v>0</v>
      </c>
      <c r="BB11" s="77"/>
      <c r="BC11" s="77"/>
      <c r="BD11" s="77"/>
      <c r="BE11" s="77">
        <v>0</v>
      </c>
      <c r="BF11" s="77">
        <v>0</v>
      </c>
      <c r="BG11" s="77">
        <v>0</v>
      </c>
      <c r="BH11" s="77">
        <v>0</v>
      </c>
      <c r="BI11" s="77">
        <v>0</v>
      </c>
      <c r="BJ11" s="77">
        <v>0</v>
      </c>
      <c r="BK11" s="77">
        <v>0</v>
      </c>
      <c r="BL11" s="79">
        <f t="shared" si="14"/>
        <v>0</v>
      </c>
      <c r="BM11" s="77"/>
      <c r="BN11" s="77">
        <v>0</v>
      </c>
      <c r="BO11" s="77">
        <v>0</v>
      </c>
      <c r="BP11" s="30"/>
      <c r="BQ11" s="42"/>
      <c r="BR11" s="42"/>
      <c r="BS11" s="32">
        <f t="shared" si="24"/>
        <v>0.513</v>
      </c>
      <c r="BT11" s="32">
        <f t="shared" si="15"/>
        <v>0</v>
      </c>
      <c r="BU11" s="32">
        <f t="shared" si="16"/>
        <v>0</v>
      </c>
      <c r="BV11" s="32">
        <f t="shared" si="17"/>
        <v>0.015</v>
      </c>
      <c r="BW11" s="32">
        <f t="shared" si="18"/>
        <v>0.58</v>
      </c>
      <c r="BX11" s="32">
        <f t="shared" si="19"/>
        <v>0.43</v>
      </c>
      <c r="BY11" s="32">
        <f t="shared" si="20"/>
        <v>0</v>
      </c>
      <c r="BZ11" s="32">
        <f t="shared" si="21"/>
        <v>0.493</v>
      </c>
      <c r="CA11" s="32">
        <f t="shared" si="22"/>
        <v>0</v>
      </c>
      <c r="CB11" s="32">
        <f t="shared" si="23"/>
        <v>0</v>
      </c>
      <c r="CC11" s="32">
        <f t="shared" si="3"/>
        <v>2.0309999999999997</v>
      </c>
      <c r="CD11" s="113">
        <f t="shared" si="4"/>
        <v>98.41</v>
      </c>
      <c r="CE11" s="32">
        <f t="shared" si="5"/>
        <v>1.9975687865857392</v>
      </c>
      <c r="CF11" s="80"/>
      <c r="CG11" s="77"/>
      <c r="CH11" s="77"/>
      <c r="CI11" s="77"/>
      <c r="CJ11" s="56"/>
      <c r="CK11" s="105" t="s">
        <v>185</v>
      </c>
      <c r="CL11" s="44" t="s">
        <v>179</v>
      </c>
      <c r="CM11" s="58">
        <v>88820900</v>
      </c>
      <c r="CN11" s="110">
        <v>132188</v>
      </c>
      <c r="CO11" s="102">
        <f>ROUND(CN11/(CM11/100),3)</f>
        <v>0.149</v>
      </c>
    </row>
    <row r="12" spans="1:93" s="5" customFormat="1" ht="17.25" customHeight="1">
      <c r="A12" s="59" t="s">
        <v>36</v>
      </c>
      <c r="B12" s="37" t="s">
        <v>37</v>
      </c>
      <c r="C12" s="34">
        <v>1027436400</v>
      </c>
      <c r="D12" s="34">
        <v>1554994880</v>
      </c>
      <c r="E12" s="8">
        <f t="shared" si="6"/>
        <v>2582431280</v>
      </c>
      <c r="F12" s="38">
        <v>0</v>
      </c>
      <c r="G12" s="51">
        <f t="shared" si="7"/>
        <v>2582431280</v>
      </c>
      <c r="H12" s="35">
        <v>6669400</v>
      </c>
      <c r="I12" s="8">
        <f t="shared" si="8"/>
        <v>2589100680</v>
      </c>
      <c r="J12" s="57">
        <f t="shared" si="9"/>
        <v>2.203</v>
      </c>
      <c r="K12" s="112">
        <v>85.8</v>
      </c>
      <c r="L12" s="40"/>
      <c r="M12" s="35"/>
      <c r="N12" s="72"/>
      <c r="O12" s="73">
        <v>452579249</v>
      </c>
      <c r="P12" s="8">
        <f t="shared" si="10"/>
        <v>3041679929</v>
      </c>
      <c r="Q12" s="14">
        <f t="shared" si="0"/>
        <v>15420225.28</v>
      </c>
      <c r="R12" s="64"/>
      <c r="S12" s="64"/>
      <c r="T12" s="74">
        <v>416603.47</v>
      </c>
      <c r="U12" s="74"/>
      <c r="V12" s="75">
        <f t="shared" si="11"/>
        <v>15003621.809999999</v>
      </c>
      <c r="W12" s="42">
        <v>0</v>
      </c>
      <c r="X12" s="16">
        <f t="shared" si="12"/>
        <v>15003621.809999999</v>
      </c>
      <c r="Y12" s="76">
        <v>0</v>
      </c>
      <c r="Z12" s="76">
        <v>0</v>
      </c>
      <c r="AA12" s="43">
        <v>446906.97</v>
      </c>
      <c r="AB12" s="41">
        <v>10849931</v>
      </c>
      <c r="AC12" s="41">
        <v>15939297</v>
      </c>
      <c r="AD12" s="41">
        <v>0</v>
      </c>
      <c r="AE12" s="41">
        <v>13512489.42</v>
      </c>
      <c r="AF12" s="41">
        <v>258910</v>
      </c>
      <c r="AG12" s="41">
        <v>1017645</v>
      </c>
      <c r="AH12" s="15">
        <f t="shared" si="13"/>
        <v>57028801.2</v>
      </c>
      <c r="AI12" s="77">
        <v>28462600</v>
      </c>
      <c r="AJ12" s="77">
        <v>3421100</v>
      </c>
      <c r="AK12" s="77">
        <v>42523000</v>
      </c>
      <c r="AL12" s="77">
        <v>10324300</v>
      </c>
      <c r="AM12" s="77">
        <v>203000</v>
      </c>
      <c r="AN12" s="77">
        <v>114810300</v>
      </c>
      <c r="AO12" s="13">
        <f t="shared" si="1"/>
        <v>199744300</v>
      </c>
      <c r="AP12" s="78">
        <v>1765000</v>
      </c>
      <c r="AQ12" s="78">
        <v>4433626.18</v>
      </c>
      <c r="AR12" s="78">
        <v>500000</v>
      </c>
      <c r="AS12" s="61">
        <f t="shared" si="2"/>
        <v>6698626.18</v>
      </c>
      <c r="AT12" s="77">
        <v>6250</v>
      </c>
      <c r="AU12" s="77">
        <v>64750</v>
      </c>
      <c r="AV12" s="77">
        <v>0</v>
      </c>
      <c r="AW12" s="77">
        <v>0</v>
      </c>
      <c r="AX12" s="77">
        <v>0</v>
      </c>
      <c r="AY12" s="77">
        <v>0</v>
      </c>
      <c r="AZ12" s="77">
        <v>0</v>
      </c>
      <c r="BA12" s="77">
        <v>0</v>
      </c>
      <c r="BB12" s="77"/>
      <c r="BC12" s="77"/>
      <c r="BD12" s="77"/>
      <c r="BE12" s="77">
        <v>0</v>
      </c>
      <c r="BF12" s="77">
        <v>0</v>
      </c>
      <c r="BG12" s="77">
        <v>0</v>
      </c>
      <c r="BH12" s="77">
        <v>0</v>
      </c>
      <c r="BI12" s="77">
        <v>0</v>
      </c>
      <c r="BJ12" s="77">
        <v>0</v>
      </c>
      <c r="BK12" s="77">
        <v>0</v>
      </c>
      <c r="BL12" s="79">
        <f t="shared" si="14"/>
        <v>0</v>
      </c>
      <c r="BM12" s="77"/>
      <c r="BN12" s="77">
        <v>0</v>
      </c>
      <c r="BO12" s="77">
        <v>0</v>
      </c>
      <c r="BP12" s="30"/>
      <c r="BQ12" s="42"/>
      <c r="BR12" s="42"/>
      <c r="BS12" s="32">
        <f>ROUND(X12/I12*100,3)+0.001</f>
        <v>0.58</v>
      </c>
      <c r="BT12" s="32">
        <f t="shared" si="15"/>
        <v>0</v>
      </c>
      <c r="BU12" s="32">
        <f t="shared" si="16"/>
        <v>0</v>
      </c>
      <c r="BV12" s="32">
        <f t="shared" si="17"/>
        <v>0.017</v>
      </c>
      <c r="BW12" s="32">
        <f t="shared" si="18"/>
        <v>0.419</v>
      </c>
      <c r="BX12" s="32">
        <f t="shared" si="19"/>
        <v>0.616</v>
      </c>
      <c r="BY12" s="32">
        <f t="shared" si="20"/>
        <v>0</v>
      </c>
      <c r="BZ12" s="32">
        <f t="shared" si="21"/>
        <v>0.522</v>
      </c>
      <c r="CA12" s="32">
        <f t="shared" si="22"/>
        <v>0.01</v>
      </c>
      <c r="CB12" s="32">
        <f t="shared" si="23"/>
        <v>0.039</v>
      </c>
      <c r="CC12" s="32">
        <f t="shared" si="3"/>
        <v>2.203</v>
      </c>
      <c r="CD12" s="113">
        <f t="shared" si="4"/>
        <v>85.8</v>
      </c>
      <c r="CE12" s="32">
        <f t="shared" si="5"/>
        <v>1.87491131648257</v>
      </c>
      <c r="CF12" s="80"/>
      <c r="CG12" s="77"/>
      <c r="CH12" s="77"/>
      <c r="CI12" s="77"/>
      <c r="CJ12" s="56"/>
      <c r="CK12" s="105" t="s">
        <v>185</v>
      </c>
      <c r="CL12" s="44" t="s">
        <v>184</v>
      </c>
      <c r="CM12" s="58">
        <v>44963500</v>
      </c>
      <c r="CN12" s="110">
        <v>51077</v>
      </c>
      <c r="CO12" s="102">
        <f>ROUNDUP(CN12/(CM12/100),3)</f>
        <v>0.114</v>
      </c>
    </row>
    <row r="13" spans="1:93" s="5" customFormat="1" ht="17.25" customHeight="1">
      <c r="A13" s="59" t="s">
        <v>38</v>
      </c>
      <c r="B13" s="37" t="s">
        <v>39</v>
      </c>
      <c r="C13" s="34">
        <v>770238500</v>
      </c>
      <c r="D13" s="34">
        <v>609780600</v>
      </c>
      <c r="E13" s="8">
        <f t="shared" si="6"/>
        <v>1380019100</v>
      </c>
      <c r="F13" s="38">
        <v>0</v>
      </c>
      <c r="G13" s="51">
        <f t="shared" si="7"/>
        <v>1380019100</v>
      </c>
      <c r="H13" s="35">
        <v>490800</v>
      </c>
      <c r="I13" s="8">
        <f t="shared" si="8"/>
        <v>1380509900</v>
      </c>
      <c r="J13" s="57">
        <f t="shared" si="9"/>
        <v>3.504</v>
      </c>
      <c r="K13" s="112">
        <v>88.28</v>
      </c>
      <c r="L13" s="40"/>
      <c r="M13" s="35"/>
      <c r="N13" s="72"/>
      <c r="O13" s="73">
        <v>184553628</v>
      </c>
      <c r="P13" s="8">
        <f t="shared" si="10"/>
        <v>1565063528</v>
      </c>
      <c r="Q13" s="14">
        <f t="shared" si="0"/>
        <v>7934310.23</v>
      </c>
      <c r="R13" s="64"/>
      <c r="S13" s="64"/>
      <c r="T13" s="74">
        <v>4380.16</v>
      </c>
      <c r="U13" s="74"/>
      <c r="V13" s="75">
        <f t="shared" si="11"/>
        <v>7929930.07</v>
      </c>
      <c r="W13" s="42">
        <v>0</v>
      </c>
      <c r="X13" s="16">
        <f t="shared" si="12"/>
        <v>7929930.07</v>
      </c>
      <c r="Y13" s="76">
        <v>0</v>
      </c>
      <c r="Z13" s="76">
        <v>0</v>
      </c>
      <c r="AA13" s="43">
        <v>236933.39</v>
      </c>
      <c r="AB13" s="41">
        <v>29042089</v>
      </c>
      <c r="AC13" s="41">
        <v>0</v>
      </c>
      <c r="AD13" s="41">
        <v>0</v>
      </c>
      <c r="AE13" s="41">
        <v>10641721.83</v>
      </c>
      <c r="AF13" s="41">
        <v>0</v>
      </c>
      <c r="AG13" s="41">
        <v>519818.24</v>
      </c>
      <c r="AH13" s="15">
        <f t="shared" si="13"/>
        <v>48370492.53</v>
      </c>
      <c r="AI13" s="77">
        <v>51300100</v>
      </c>
      <c r="AJ13" s="77">
        <v>0</v>
      </c>
      <c r="AK13" s="77">
        <v>37505510</v>
      </c>
      <c r="AL13" s="77">
        <v>9723000</v>
      </c>
      <c r="AM13" s="77">
        <v>7481400</v>
      </c>
      <c r="AN13" s="77">
        <v>7600600</v>
      </c>
      <c r="AO13" s="13">
        <f t="shared" si="1"/>
        <v>113610610</v>
      </c>
      <c r="AP13" s="78">
        <v>830000</v>
      </c>
      <c r="AQ13" s="78">
        <v>1432103.28</v>
      </c>
      <c r="AR13" s="78">
        <v>215820</v>
      </c>
      <c r="AS13" s="61">
        <f t="shared" si="2"/>
        <v>2477923.2800000003</v>
      </c>
      <c r="AT13" s="77">
        <v>1500</v>
      </c>
      <c r="AU13" s="77">
        <v>27000</v>
      </c>
      <c r="AV13" s="77">
        <v>0</v>
      </c>
      <c r="AW13" s="77">
        <v>0</v>
      </c>
      <c r="AX13" s="77">
        <v>0</v>
      </c>
      <c r="AY13" s="77">
        <v>0</v>
      </c>
      <c r="AZ13" s="77">
        <v>0</v>
      </c>
      <c r="BA13" s="77">
        <v>0</v>
      </c>
      <c r="BB13" s="77"/>
      <c r="BC13" s="77"/>
      <c r="BD13" s="77"/>
      <c r="BE13" s="77">
        <v>0</v>
      </c>
      <c r="BF13" s="77">
        <v>0</v>
      </c>
      <c r="BG13" s="77">
        <v>0</v>
      </c>
      <c r="BH13" s="77">
        <v>0</v>
      </c>
      <c r="BI13" s="77">
        <v>0</v>
      </c>
      <c r="BJ13" s="77">
        <v>0</v>
      </c>
      <c r="BK13" s="77">
        <v>0</v>
      </c>
      <c r="BL13" s="79">
        <f t="shared" si="14"/>
        <v>0</v>
      </c>
      <c r="BM13" s="77"/>
      <c r="BN13" s="77">
        <v>0</v>
      </c>
      <c r="BO13" s="77">
        <v>0</v>
      </c>
      <c r="BP13" s="30"/>
      <c r="BQ13" s="42"/>
      <c r="BR13" s="42"/>
      <c r="BS13" s="32">
        <f t="shared" si="24"/>
        <v>0.574</v>
      </c>
      <c r="BT13" s="32">
        <f t="shared" si="15"/>
        <v>0</v>
      </c>
      <c r="BU13" s="32">
        <f t="shared" si="16"/>
        <v>0</v>
      </c>
      <c r="BV13" s="32">
        <f t="shared" si="17"/>
        <v>0.017</v>
      </c>
      <c r="BW13" s="32">
        <f t="shared" si="18"/>
        <v>2.104</v>
      </c>
      <c r="BX13" s="32">
        <f t="shared" si="19"/>
        <v>0</v>
      </c>
      <c r="BY13" s="32">
        <f t="shared" si="20"/>
        <v>0</v>
      </c>
      <c r="BZ13" s="32">
        <f t="shared" si="21"/>
        <v>0.771</v>
      </c>
      <c r="CA13" s="32">
        <f t="shared" si="22"/>
        <v>0</v>
      </c>
      <c r="CB13" s="32">
        <f t="shared" si="23"/>
        <v>0.038</v>
      </c>
      <c r="CC13" s="32">
        <f t="shared" si="3"/>
        <v>3.504</v>
      </c>
      <c r="CD13" s="113">
        <f t="shared" si="4"/>
        <v>88.28</v>
      </c>
      <c r="CE13" s="32">
        <f t="shared" si="5"/>
        <v>3.090640837551995</v>
      </c>
      <c r="CF13" s="80"/>
      <c r="CG13" s="77"/>
      <c r="CH13" s="77"/>
      <c r="CI13" s="77"/>
      <c r="CJ13" s="56"/>
      <c r="CK13" s="105" t="s">
        <v>186</v>
      </c>
      <c r="CL13" s="44" t="s">
        <v>179</v>
      </c>
      <c r="CM13" s="58">
        <v>161860462</v>
      </c>
      <c r="CN13" s="110">
        <v>200850</v>
      </c>
      <c r="CO13" s="102">
        <f>ROUNDUP(CN13/(CM13/100),3)</f>
        <v>0.125</v>
      </c>
    </row>
    <row r="14" spans="1:93" s="5" customFormat="1" ht="17.25" customHeight="1">
      <c r="A14" s="59" t="s">
        <v>40</v>
      </c>
      <c r="B14" s="37" t="s">
        <v>41</v>
      </c>
      <c r="C14" s="34">
        <v>427971800</v>
      </c>
      <c r="D14" s="34">
        <v>1388194750</v>
      </c>
      <c r="E14" s="8">
        <f t="shared" si="6"/>
        <v>1816166550</v>
      </c>
      <c r="F14" s="38">
        <v>0</v>
      </c>
      <c r="G14" s="51">
        <f t="shared" si="7"/>
        <v>1816166550</v>
      </c>
      <c r="H14" s="35">
        <v>6597019</v>
      </c>
      <c r="I14" s="8">
        <f t="shared" si="8"/>
        <v>1822763569</v>
      </c>
      <c r="J14" s="57">
        <f t="shared" si="9"/>
        <v>5.5520000000000005</v>
      </c>
      <c r="K14" s="112">
        <v>89.53</v>
      </c>
      <c r="L14" s="40"/>
      <c r="M14" s="35"/>
      <c r="N14" s="72"/>
      <c r="O14" s="73">
        <v>227952970</v>
      </c>
      <c r="P14" s="8">
        <f t="shared" si="10"/>
        <v>2050716539</v>
      </c>
      <c r="Q14" s="14">
        <f t="shared" si="0"/>
        <v>10396396.65</v>
      </c>
      <c r="R14" s="64"/>
      <c r="S14" s="64"/>
      <c r="T14" s="74">
        <v>52565.72</v>
      </c>
      <c r="U14" s="74"/>
      <c r="V14" s="75">
        <f t="shared" si="11"/>
        <v>10343830.93</v>
      </c>
      <c r="W14" s="42">
        <v>0</v>
      </c>
      <c r="X14" s="16">
        <f t="shared" si="12"/>
        <v>10343830.93</v>
      </c>
      <c r="Y14" s="76">
        <v>0</v>
      </c>
      <c r="Z14" s="76">
        <v>0</v>
      </c>
      <c r="AA14" s="43">
        <v>309002.42</v>
      </c>
      <c r="AB14" s="41">
        <v>17459529</v>
      </c>
      <c r="AC14" s="41">
        <v>0</v>
      </c>
      <c r="AD14" s="41">
        <v>1857642.2</v>
      </c>
      <c r="AE14" s="41">
        <v>70522859</v>
      </c>
      <c r="AF14" s="41">
        <v>0</v>
      </c>
      <c r="AG14" s="41">
        <v>691271.37</v>
      </c>
      <c r="AH14" s="15">
        <f t="shared" si="13"/>
        <v>101184134.92</v>
      </c>
      <c r="AI14" s="77">
        <v>117207800</v>
      </c>
      <c r="AJ14" s="77">
        <v>0</v>
      </c>
      <c r="AK14" s="77">
        <v>70319100</v>
      </c>
      <c r="AL14" s="77">
        <v>70500415</v>
      </c>
      <c r="AM14" s="77">
        <v>3212000</v>
      </c>
      <c r="AN14" s="77">
        <v>33735237</v>
      </c>
      <c r="AO14" s="13">
        <f t="shared" si="1"/>
        <v>294974552</v>
      </c>
      <c r="AP14" s="101">
        <v>0</v>
      </c>
      <c r="AQ14" s="78">
        <v>25892852.83</v>
      </c>
      <c r="AR14" s="78">
        <v>3052954.24</v>
      </c>
      <c r="AS14" s="61">
        <f t="shared" si="2"/>
        <v>28945807.07</v>
      </c>
      <c r="AT14" s="77">
        <v>49000</v>
      </c>
      <c r="AU14" s="77">
        <v>60750</v>
      </c>
      <c r="AV14" s="77">
        <v>0</v>
      </c>
      <c r="AW14" s="77">
        <v>0</v>
      </c>
      <c r="AX14" s="77">
        <v>0</v>
      </c>
      <c r="AY14" s="77">
        <v>0</v>
      </c>
      <c r="AZ14" s="77">
        <v>0</v>
      </c>
      <c r="BA14" s="77">
        <v>0</v>
      </c>
      <c r="BB14" s="77"/>
      <c r="BC14" s="77"/>
      <c r="BD14" s="77"/>
      <c r="BE14" s="77">
        <v>0</v>
      </c>
      <c r="BF14" s="77">
        <v>0</v>
      </c>
      <c r="BG14" s="77">
        <v>0</v>
      </c>
      <c r="BH14" s="77">
        <v>0</v>
      </c>
      <c r="BI14" s="77">
        <v>0</v>
      </c>
      <c r="BJ14" s="77">
        <v>0</v>
      </c>
      <c r="BK14" s="77">
        <v>0</v>
      </c>
      <c r="BL14" s="79">
        <f t="shared" si="14"/>
        <v>0</v>
      </c>
      <c r="BM14" s="77"/>
      <c r="BN14" s="77">
        <v>0</v>
      </c>
      <c r="BO14" s="77">
        <v>0</v>
      </c>
      <c r="BP14" s="30"/>
      <c r="BQ14" s="42"/>
      <c r="BR14" s="42"/>
      <c r="BS14" s="32">
        <f>ROUND(X14/I14*100,3)+0.001</f>
        <v>0.568</v>
      </c>
      <c r="BT14" s="32">
        <f t="shared" si="15"/>
        <v>0</v>
      </c>
      <c r="BU14" s="32">
        <f t="shared" si="16"/>
        <v>0</v>
      </c>
      <c r="BV14" s="32">
        <f t="shared" si="17"/>
        <v>0.017</v>
      </c>
      <c r="BW14" s="32">
        <f t="shared" si="18"/>
        <v>0.958</v>
      </c>
      <c r="BX14" s="32">
        <f t="shared" si="19"/>
        <v>0</v>
      </c>
      <c r="BY14" s="32">
        <f t="shared" si="20"/>
        <v>0.102</v>
      </c>
      <c r="BZ14" s="32">
        <f t="shared" si="21"/>
        <v>3.869</v>
      </c>
      <c r="CA14" s="32">
        <f t="shared" si="22"/>
        <v>0</v>
      </c>
      <c r="CB14" s="32">
        <f t="shared" si="23"/>
        <v>0.038</v>
      </c>
      <c r="CC14" s="32">
        <f t="shared" si="3"/>
        <v>5.5520000000000005</v>
      </c>
      <c r="CD14" s="113">
        <f t="shared" si="4"/>
        <v>89.53</v>
      </c>
      <c r="CE14" s="32">
        <f t="shared" si="5"/>
        <v>4.93408684212109</v>
      </c>
      <c r="CF14" s="80"/>
      <c r="CG14" s="77"/>
      <c r="CH14" s="77"/>
      <c r="CI14" s="77"/>
      <c r="CJ14" s="56"/>
      <c r="CK14" s="105" t="s">
        <v>187</v>
      </c>
      <c r="CL14" s="44" t="s">
        <v>179</v>
      </c>
      <c r="CM14" s="58">
        <v>248580800</v>
      </c>
      <c r="CN14" s="110">
        <v>547928</v>
      </c>
      <c r="CO14" s="102">
        <f>ROUND(CN14/(CM14/100),3)</f>
        <v>0.22</v>
      </c>
    </row>
    <row r="15" spans="1:93" s="5" customFormat="1" ht="17.25" customHeight="1">
      <c r="A15" s="59" t="s">
        <v>42</v>
      </c>
      <c r="B15" s="37" t="s">
        <v>43</v>
      </c>
      <c r="C15" s="34">
        <v>3871982980</v>
      </c>
      <c r="D15" s="34">
        <v>3324463215</v>
      </c>
      <c r="E15" s="8">
        <f t="shared" si="6"/>
        <v>7196446195</v>
      </c>
      <c r="F15" s="38">
        <v>0</v>
      </c>
      <c r="G15" s="51">
        <f t="shared" si="7"/>
        <v>7196446195</v>
      </c>
      <c r="H15" s="35">
        <v>9738270</v>
      </c>
      <c r="I15" s="8">
        <f t="shared" si="8"/>
        <v>7206184465</v>
      </c>
      <c r="J15" s="57">
        <f t="shared" si="9"/>
        <v>2.5</v>
      </c>
      <c r="K15" s="112">
        <v>93.61</v>
      </c>
      <c r="L15" s="40"/>
      <c r="M15" s="35"/>
      <c r="N15" s="72"/>
      <c r="O15" s="73">
        <v>508745812</v>
      </c>
      <c r="P15" s="8">
        <f t="shared" si="10"/>
        <v>7714930277</v>
      </c>
      <c r="Q15" s="14">
        <f t="shared" si="0"/>
        <v>39111926.84</v>
      </c>
      <c r="R15" s="64"/>
      <c r="S15" s="64"/>
      <c r="T15" s="74">
        <v>665381.37</v>
      </c>
      <c r="U15" s="74"/>
      <c r="V15" s="75">
        <f t="shared" si="11"/>
        <v>38446545.470000006</v>
      </c>
      <c r="W15" s="42">
        <v>0</v>
      </c>
      <c r="X15" s="16">
        <f t="shared" si="12"/>
        <v>38446545.470000006</v>
      </c>
      <c r="Y15" s="76">
        <v>0</v>
      </c>
      <c r="Z15" s="76">
        <v>0</v>
      </c>
      <c r="AA15" s="43">
        <v>1147519.33</v>
      </c>
      <c r="AB15" s="41">
        <v>106771328</v>
      </c>
      <c r="AC15" s="41">
        <v>0</v>
      </c>
      <c r="AD15" s="41">
        <v>0</v>
      </c>
      <c r="AE15" s="41">
        <v>30858302.82</v>
      </c>
      <c r="AF15" s="41">
        <v>360309</v>
      </c>
      <c r="AG15" s="41">
        <v>2550429.32</v>
      </c>
      <c r="AH15" s="15">
        <f t="shared" si="13"/>
        <v>180134433.94</v>
      </c>
      <c r="AI15" s="77">
        <v>213118100</v>
      </c>
      <c r="AJ15" s="77">
        <v>118786200</v>
      </c>
      <c r="AK15" s="77">
        <v>231562600</v>
      </c>
      <c r="AL15" s="77">
        <v>535353900</v>
      </c>
      <c r="AM15" s="77">
        <v>403500</v>
      </c>
      <c r="AN15" s="77">
        <v>60804600</v>
      </c>
      <c r="AO15" s="13">
        <f t="shared" si="1"/>
        <v>1160028900</v>
      </c>
      <c r="AP15" s="78">
        <v>400000</v>
      </c>
      <c r="AQ15" s="78">
        <v>10158968.79</v>
      </c>
      <c r="AR15" s="78">
        <v>0</v>
      </c>
      <c r="AS15" s="61">
        <f t="shared" si="2"/>
        <v>10558968.79</v>
      </c>
      <c r="AT15" s="77">
        <v>23750</v>
      </c>
      <c r="AU15" s="77">
        <v>161500</v>
      </c>
      <c r="AV15" s="77">
        <v>0</v>
      </c>
      <c r="AW15" s="77">
        <v>0</v>
      </c>
      <c r="AX15" s="77">
        <v>0</v>
      </c>
      <c r="AY15" s="77">
        <v>0</v>
      </c>
      <c r="AZ15" s="77">
        <v>0</v>
      </c>
      <c r="BA15" s="77">
        <v>0</v>
      </c>
      <c r="BB15" s="77"/>
      <c r="BC15" s="77"/>
      <c r="BD15" s="77"/>
      <c r="BE15" s="77">
        <v>0</v>
      </c>
      <c r="BF15" s="77">
        <v>0</v>
      </c>
      <c r="BG15" s="77">
        <v>0</v>
      </c>
      <c r="BH15" s="77">
        <v>0</v>
      </c>
      <c r="BI15" s="77">
        <v>0</v>
      </c>
      <c r="BJ15" s="77">
        <v>0</v>
      </c>
      <c r="BK15" s="77">
        <v>0</v>
      </c>
      <c r="BL15" s="79">
        <f t="shared" si="14"/>
        <v>0</v>
      </c>
      <c r="BM15" s="77"/>
      <c r="BN15" s="77">
        <v>0</v>
      </c>
      <c r="BO15" s="77">
        <v>0</v>
      </c>
      <c r="BP15" s="30"/>
      <c r="BQ15" s="42"/>
      <c r="BR15" s="42"/>
      <c r="BS15" s="32">
        <f t="shared" si="24"/>
        <v>0.534</v>
      </c>
      <c r="BT15" s="32">
        <f t="shared" si="15"/>
        <v>0</v>
      </c>
      <c r="BU15" s="32">
        <f t="shared" si="16"/>
        <v>0</v>
      </c>
      <c r="BV15" s="32">
        <f t="shared" si="17"/>
        <v>0.016</v>
      </c>
      <c r="BW15" s="32">
        <f t="shared" si="18"/>
        <v>1.482</v>
      </c>
      <c r="BX15" s="32">
        <f t="shared" si="19"/>
        <v>0</v>
      </c>
      <c r="BY15" s="32">
        <f t="shared" si="20"/>
        <v>0</v>
      </c>
      <c r="BZ15" s="32">
        <f t="shared" si="21"/>
        <v>0.428</v>
      </c>
      <c r="CA15" s="32">
        <f t="shared" si="22"/>
        <v>0.005</v>
      </c>
      <c r="CB15" s="32">
        <f t="shared" si="23"/>
        <v>0.035</v>
      </c>
      <c r="CC15" s="32">
        <f t="shared" si="3"/>
        <v>2.5</v>
      </c>
      <c r="CD15" s="113">
        <f t="shared" si="4"/>
        <v>93.61</v>
      </c>
      <c r="CE15" s="32">
        <f t="shared" si="5"/>
        <v>2.334880905884822</v>
      </c>
      <c r="CF15" s="80"/>
      <c r="CG15" s="77"/>
      <c r="CH15" s="77"/>
      <c r="CI15" s="77"/>
      <c r="CJ15" s="56"/>
      <c r="CK15" s="105" t="s">
        <v>188</v>
      </c>
      <c r="CL15" s="44" t="s">
        <v>179</v>
      </c>
      <c r="CM15" s="58">
        <v>2147410850</v>
      </c>
      <c r="CN15" s="110">
        <v>4124750</v>
      </c>
      <c r="CO15" s="102">
        <f>ROUNDUP(CN15/(CM15/100),3)</f>
        <v>0.193</v>
      </c>
    </row>
    <row r="16" spans="1:93" s="5" customFormat="1" ht="17.25" customHeight="1">
      <c r="A16" s="59" t="s">
        <v>44</v>
      </c>
      <c r="B16" s="37" t="s">
        <v>45</v>
      </c>
      <c r="C16" s="34">
        <v>1524914000</v>
      </c>
      <c r="D16" s="34">
        <v>1529789900</v>
      </c>
      <c r="E16" s="8">
        <f t="shared" si="6"/>
        <v>3054703900</v>
      </c>
      <c r="F16" s="38">
        <v>0</v>
      </c>
      <c r="G16" s="51">
        <f t="shared" si="7"/>
        <v>3054703900</v>
      </c>
      <c r="H16" s="35">
        <v>2278820</v>
      </c>
      <c r="I16" s="8">
        <f t="shared" si="8"/>
        <v>3056982720</v>
      </c>
      <c r="J16" s="57">
        <f t="shared" si="9"/>
        <v>3.685</v>
      </c>
      <c r="K16" s="112">
        <v>87.67</v>
      </c>
      <c r="L16" s="40"/>
      <c r="M16" s="35"/>
      <c r="N16" s="72"/>
      <c r="O16" s="73">
        <v>438768149</v>
      </c>
      <c r="P16" s="8">
        <f t="shared" si="10"/>
        <v>3495750869</v>
      </c>
      <c r="Q16" s="14">
        <f t="shared" si="0"/>
        <v>17722201.93</v>
      </c>
      <c r="R16" s="64"/>
      <c r="S16" s="64"/>
      <c r="T16" s="74">
        <v>85116.48</v>
      </c>
      <c r="U16" s="74"/>
      <c r="V16" s="75">
        <f t="shared" si="11"/>
        <v>17637085.45</v>
      </c>
      <c r="W16" s="42">
        <v>0</v>
      </c>
      <c r="X16" s="16">
        <f t="shared" si="12"/>
        <v>17637085.45</v>
      </c>
      <c r="Y16" s="76">
        <v>0</v>
      </c>
      <c r="Z16" s="76">
        <v>0</v>
      </c>
      <c r="AA16" s="43">
        <v>526785.48</v>
      </c>
      <c r="AB16" s="41">
        <v>0</v>
      </c>
      <c r="AC16" s="41">
        <v>65254039</v>
      </c>
      <c r="AD16" s="41">
        <v>0</v>
      </c>
      <c r="AE16" s="41">
        <v>27733807</v>
      </c>
      <c r="AF16" s="41">
        <v>305698.27</v>
      </c>
      <c r="AG16" s="41">
        <v>1165492</v>
      </c>
      <c r="AH16" s="15">
        <f t="shared" si="13"/>
        <v>112622907.2</v>
      </c>
      <c r="AI16" s="77">
        <v>105434700</v>
      </c>
      <c r="AJ16" s="77">
        <v>0</v>
      </c>
      <c r="AK16" s="77">
        <v>626225100</v>
      </c>
      <c r="AL16" s="77">
        <v>44383100</v>
      </c>
      <c r="AM16" s="77">
        <v>0</v>
      </c>
      <c r="AN16" s="77">
        <v>36792000</v>
      </c>
      <c r="AO16" s="13">
        <f t="shared" si="1"/>
        <v>812834900</v>
      </c>
      <c r="AP16" s="78">
        <v>2000000</v>
      </c>
      <c r="AQ16" s="78">
        <v>9882476</v>
      </c>
      <c r="AR16" s="78">
        <v>1100000</v>
      </c>
      <c r="AS16" s="61">
        <f t="shared" si="2"/>
        <v>12982476</v>
      </c>
      <c r="AT16" s="77">
        <v>8500</v>
      </c>
      <c r="AU16" s="77">
        <v>64750</v>
      </c>
      <c r="AV16" s="77">
        <v>0</v>
      </c>
      <c r="AW16" s="77">
        <v>0</v>
      </c>
      <c r="AX16" s="77">
        <v>0</v>
      </c>
      <c r="AY16" s="77">
        <v>0</v>
      </c>
      <c r="AZ16" s="77">
        <v>0</v>
      </c>
      <c r="BA16" s="77">
        <v>0</v>
      </c>
      <c r="BB16" s="77"/>
      <c r="BC16" s="77"/>
      <c r="BD16" s="77"/>
      <c r="BE16" s="77">
        <v>0</v>
      </c>
      <c r="BF16" s="77">
        <v>0</v>
      </c>
      <c r="BG16" s="77">
        <v>0</v>
      </c>
      <c r="BH16" s="77">
        <v>0</v>
      </c>
      <c r="BI16" s="77">
        <v>0</v>
      </c>
      <c r="BJ16" s="77">
        <v>0</v>
      </c>
      <c r="BK16" s="77">
        <v>0</v>
      </c>
      <c r="BL16" s="79">
        <f t="shared" si="14"/>
        <v>0</v>
      </c>
      <c r="BM16" s="77"/>
      <c r="BN16" s="77">
        <v>0</v>
      </c>
      <c r="BO16" s="77">
        <v>0</v>
      </c>
      <c r="BP16" s="30"/>
      <c r="BQ16" s="42"/>
      <c r="BR16" s="42"/>
      <c r="BS16" s="32">
        <f t="shared" si="24"/>
        <v>0.577</v>
      </c>
      <c r="BT16" s="32">
        <f t="shared" si="15"/>
        <v>0</v>
      </c>
      <c r="BU16" s="32">
        <f t="shared" si="16"/>
        <v>0</v>
      </c>
      <c r="BV16" s="32">
        <f>ROUNDUP(AA16/I16*100,3)</f>
        <v>0.018000000000000002</v>
      </c>
      <c r="BW16" s="32">
        <f t="shared" si="18"/>
        <v>0</v>
      </c>
      <c r="BX16" s="32">
        <f t="shared" si="19"/>
        <v>2.135</v>
      </c>
      <c r="BY16" s="32">
        <f t="shared" si="20"/>
        <v>0</v>
      </c>
      <c r="BZ16" s="32">
        <f t="shared" si="21"/>
        <v>0.907</v>
      </c>
      <c r="CA16" s="32">
        <f t="shared" si="22"/>
        <v>0.01</v>
      </c>
      <c r="CB16" s="32">
        <f t="shared" si="23"/>
        <v>0.038</v>
      </c>
      <c r="CC16" s="32">
        <f t="shared" si="3"/>
        <v>3.685</v>
      </c>
      <c r="CD16" s="113">
        <f t="shared" si="4"/>
        <v>87.67</v>
      </c>
      <c r="CE16" s="32">
        <f t="shared" si="5"/>
        <v>3.221708623424217</v>
      </c>
      <c r="CF16" s="80"/>
      <c r="CG16" s="77"/>
      <c r="CH16" s="77"/>
      <c r="CI16" s="77"/>
      <c r="CJ16" s="56"/>
      <c r="CK16" s="105" t="s">
        <v>188</v>
      </c>
      <c r="CL16" s="44" t="s">
        <v>184</v>
      </c>
      <c r="CM16" s="58">
        <v>375352817</v>
      </c>
      <c r="CN16" s="110">
        <v>835000</v>
      </c>
      <c r="CO16" s="102">
        <f>ROUNDUP(CN16/(CM16/100),3)</f>
        <v>0.223</v>
      </c>
    </row>
    <row r="17" spans="1:93" s="5" customFormat="1" ht="17.25" customHeight="1">
      <c r="A17" s="59" t="s">
        <v>46</v>
      </c>
      <c r="B17" s="37" t="s">
        <v>47</v>
      </c>
      <c r="C17" s="34">
        <v>3137229900</v>
      </c>
      <c r="D17" s="34">
        <v>5038875100</v>
      </c>
      <c r="E17" s="8">
        <f t="shared" si="6"/>
        <v>8176105000</v>
      </c>
      <c r="F17" s="38">
        <v>0</v>
      </c>
      <c r="G17" s="51">
        <f t="shared" si="7"/>
        <v>8176105000</v>
      </c>
      <c r="H17" s="35">
        <v>6246215</v>
      </c>
      <c r="I17" s="8">
        <f t="shared" si="8"/>
        <v>8182351215</v>
      </c>
      <c r="J17" s="57">
        <f t="shared" si="9"/>
        <v>2.154</v>
      </c>
      <c r="K17" s="112">
        <v>86.3</v>
      </c>
      <c r="L17" s="40"/>
      <c r="M17" s="35"/>
      <c r="N17" s="72"/>
      <c r="O17" s="73">
        <v>1321729060</v>
      </c>
      <c r="P17" s="8">
        <f t="shared" si="10"/>
        <v>9504080275</v>
      </c>
      <c r="Q17" s="14">
        <f t="shared" si="0"/>
        <v>48182275.03</v>
      </c>
      <c r="R17" s="64"/>
      <c r="S17" s="64"/>
      <c r="T17" s="74">
        <v>820200.67</v>
      </c>
      <c r="U17" s="74"/>
      <c r="V17" s="75">
        <f t="shared" si="11"/>
        <v>47362074.36</v>
      </c>
      <c r="W17" s="42">
        <v>0</v>
      </c>
      <c r="X17" s="16">
        <f t="shared" si="12"/>
        <v>47362074.36</v>
      </c>
      <c r="Y17" s="76">
        <v>0</v>
      </c>
      <c r="Z17" s="76">
        <v>0</v>
      </c>
      <c r="AA17" s="43">
        <v>1411970.28</v>
      </c>
      <c r="AB17" s="41">
        <v>82966075</v>
      </c>
      <c r="AC17" s="41">
        <v>0</v>
      </c>
      <c r="AD17" s="41">
        <v>0</v>
      </c>
      <c r="AE17" s="41">
        <v>41351080.66</v>
      </c>
      <c r="AF17" s="41">
        <v>0</v>
      </c>
      <c r="AG17" s="41">
        <v>3150928.71</v>
      </c>
      <c r="AH17" s="15">
        <f t="shared" si="13"/>
        <v>176242129.01000002</v>
      </c>
      <c r="AI17" s="77">
        <v>84632900</v>
      </c>
      <c r="AJ17" s="77">
        <v>20150200</v>
      </c>
      <c r="AK17" s="77">
        <v>315280100</v>
      </c>
      <c r="AL17" s="77">
        <v>75989500</v>
      </c>
      <c r="AM17" s="77">
        <v>3590800</v>
      </c>
      <c r="AN17" s="77">
        <v>14805600</v>
      </c>
      <c r="AO17" s="13">
        <f t="shared" si="1"/>
        <v>514449100</v>
      </c>
      <c r="AP17" s="78">
        <v>4450000</v>
      </c>
      <c r="AQ17" s="78">
        <v>7078385.4</v>
      </c>
      <c r="AR17" s="78">
        <v>635000</v>
      </c>
      <c r="AS17" s="61">
        <f t="shared" si="2"/>
        <v>12163385.4</v>
      </c>
      <c r="AT17" s="77">
        <v>2000</v>
      </c>
      <c r="AU17" s="77">
        <v>53000</v>
      </c>
      <c r="AV17" s="77">
        <v>0</v>
      </c>
      <c r="AW17" s="77">
        <v>0</v>
      </c>
      <c r="AX17" s="77">
        <v>0</v>
      </c>
      <c r="AY17" s="77">
        <v>0</v>
      </c>
      <c r="AZ17" s="77">
        <v>0</v>
      </c>
      <c r="BA17" s="77">
        <v>0</v>
      </c>
      <c r="BB17" s="77"/>
      <c r="BC17" s="77"/>
      <c r="BD17" s="77"/>
      <c r="BE17" s="77">
        <v>0</v>
      </c>
      <c r="BF17" s="77">
        <v>0</v>
      </c>
      <c r="BG17" s="77">
        <v>0</v>
      </c>
      <c r="BH17" s="77">
        <v>0</v>
      </c>
      <c r="BI17" s="77">
        <v>0</v>
      </c>
      <c r="BJ17" s="77">
        <v>0</v>
      </c>
      <c r="BK17" s="77">
        <v>0</v>
      </c>
      <c r="BL17" s="79">
        <f t="shared" si="14"/>
        <v>0</v>
      </c>
      <c r="BM17" s="77"/>
      <c r="BN17" s="77">
        <v>0</v>
      </c>
      <c r="BO17" s="77">
        <v>0</v>
      </c>
      <c r="BP17" s="30"/>
      <c r="BQ17" s="42"/>
      <c r="BR17" s="42"/>
      <c r="BS17" s="32">
        <f t="shared" si="24"/>
        <v>0.579</v>
      </c>
      <c r="BT17" s="32">
        <f t="shared" si="15"/>
        <v>0</v>
      </c>
      <c r="BU17" s="32">
        <f t="shared" si="16"/>
        <v>0</v>
      </c>
      <c r="BV17" s="32">
        <f t="shared" si="17"/>
        <v>0.017</v>
      </c>
      <c r="BW17" s="32">
        <f t="shared" si="18"/>
        <v>1.014</v>
      </c>
      <c r="BX17" s="32">
        <f t="shared" si="19"/>
        <v>0</v>
      </c>
      <c r="BY17" s="32">
        <f t="shared" si="20"/>
        <v>0</v>
      </c>
      <c r="BZ17" s="32">
        <f t="shared" si="21"/>
        <v>0.505</v>
      </c>
      <c r="CA17" s="32">
        <f t="shared" si="22"/>
        <v>0</v>
      </c>
      <c r="CB17" s="32">
        <f t="shared" si="23"/>
        <v>0.039</v>
      </c>
      <c r="CC17" s="32">
        <f t="shared" si="3"/>
        <v>2.154</v>
      </c>
      <c r="CD17" s="113">
        <f t="shared" si="4"/>
        <v>86.3</v>
      </c>
      <c r="CE17" s="32">
        <f t="shared" si="5"/>
        <v>1.854383842628055</v>
      </c>
      <c r="CF17" s="80"/>
      <c r="CG17" s="77"/>
      <c r="CH17" s="77"/>
      <c r="CI17" s="77"/>
      <c r="CJ17" s="56"/>
      <c r="CK17" s="106" t="s">
        <v>188</v>
      </c>
      <c r="CL17" s="107" t="s">
        <v>189</v>
      </c>
      <c r="CM17" s="108">
        <v>164549156</v>
      </c>
      <c r="CN17" s="109">
        <v>292500</v>
      </c>
      <c r="CO17" s="111">
        <f>ROUNDUP(CN17/(CM17/100),3)</f>
        <v>0.178</v>
      </c>
    </row>
    <row r="18" spans="1:93" s="5" customFormat="1" ht="17.25" customHeight="1">
      <c r="A18" s="59" t="s">
        <v>48</v>
      </c>
      <c r="B18" s="37" t="s">
        <v>49</v>
      </c>
      <c r="C18" s="34">
        <v>2607112600</v>
      </c>
      <c r="D18" s="34">
        <v>3103261600</v>
      </c>
      <c r="E18" s="8">
        <f t="shared" si="6"/>
        <v>5710374200</v>
      </c>
      <c r="F18" s="38">
        <v>0</v>
      </c>
      <c r="G18" s="51">
        <f t="shared" si="7"/>
        <v>5710374200</v>
      </c>
      <c r="H18" s="35">
        <v>8386600</v>
      </c>
      <c r="I18" s="8">
        <f t="shared" si="8"/>
        <v>5718760800</v>
      </c>
      <c r="J18" s="57">
        <f t="shared" si="9"/>
        <v>3.634</v>
      </c>
      <c r="K18" s="112">
        <v>84.17</v>
      </c>
      <c r="L18" s="40"/>
      <c r="M18" s="35"/>
      <c r="N18" s="72"/>
      <c r="O18" s="73">
        <v>1087061863</v>
      </c>
      <c r="P18" s="8">
        <f t="shared" si="10"/>
        <v>6805822663</v>
      </c>
      <c r="Q18" s="14">
        <f t="shared" si="0"/>
        <v>34503077.61</v>
      </c>
      <c r="R18" s="64"/>
      <c r="S18" s="64"/>
      <c r="T18" s="74">
        <v>124340.82</v>
      </c>
      <c r="U18" s="74"/>
      <c r="V18" s="75">
        <f t="shared" si="11"/>
        <v>34378736.79</v>
      </c>
      <c r="W18" s="42">
        <v>0</v>
      </c>
      <c r="X18" s="16">
        <f t="shared" si="12"/>
        <v>34378736.79</v>
      </c>
      <c r="Y18" s="76">
        <v>0</v>
      </c>
      <c r="Z18" s="76">
        <v>0</v>
      </c>
      <c r="AA18" s="43">
        <v>1026905.44</v>
      </c>
      <c r="AB18" s="41">
        <v>109921598</v>
      </c>
      <c r="AC18" s="41">
        <v>0</v>
      </c>
      <c r="AD18" s="41">
        <v>7383100</v>
      </c>
      <c r="AE18" s="41">
        <v>52801180.22</v>
      </c>
      <c r="AF18" s="41">
        <v>0</v>
      </c>
      <c r="AG18" s="41">
        <v>2273956.27</v>
      </c>
      <c r="AH18" s="15">
        <f t="shared" si="13"/>
        <v>207785476.72</v>
      </c>
      <c r="AI18" s="77">
        <v>119227700</v>
      </c>
      <c r="AJ18" s="77">
        <v>87502700</v>
      </c>
      <c r="AK18" s="77">
        <v>130275300</v>
      </c>
      <c r="AL18" s="77">
        <v>177538800</v>
      </c>
      <c r="AM18" s="77">
        <v>8296200</v>
      </c>
      <c r="AN18" s="77">
        <v>149261500</v>
      </c>
      <c r="AO18" s="13">
        <f t="shared" si="1"/>
        <v>672102200</v>
      </c>
      <c r="AP18" s="78">
        <v>3235000</v>
      </c>
      <c r="AQ18" s="78">
        <v>14843788</v>
      </c>
      <c r="AR18" s="78">
        <v>2340000</v>
      </c>
      <c r="AS18" s="61">
        <f t="shared" si="2"/>
        <v>20418788</v>
      </c>
      <c r="AT18" s="77">
        <v>10500</v>
      </c>
      <c r="AU18" s="77">
        <v>90500</v>
      </c>
      <c r="AV18" s="77">
        <v>0</v>
      </c>
      <c r="AW18" s="77">
        <v>0</v>
      </c>
      <c r="AX18" s="77">
        <v>0</v>
      </c>
      <c r="AY18" s="77">
        <v>0</v>
      </c>
      <c r="AZ18" s="77">
        <v>0</v>
      </c>
      <c r="BA18" s="77">
        <v>0</v>
      </c>
      <c r="BB18" s="77"/>
      <c r="BC18" s="77"/>
      <c r="BD18" s="77"/>
      <c r="BE18" s="77">
        <v>0</v>
      </c>
      <c r="BF18" s="77">
        <v>0</v>
      </c>
      <c r="BG18" s="77">
        <v>0</v>
      </c>
      <c r="BH18" s="77">
        <v>0</v>
      </c>
      <c r="BI18" s="77">
        <v>0</v>
      </c>
      <c r="BJ18" s="77">
        <v>0</v>
      </c>
      <c r="BK18" s="77">
        <v>0</v>
      </c>
      <c r="BL18" s="79">
        <f t="shared" si="14"/>
        <v>0</v>
      </c>
      <c r="BM18" s="77"/>
      <c r="BN18" s="77">
        <v>0</v>
      </c>
      <c r="BO18" s="77">
        <v>0</v>
      </c>
      <c r="BP18" s="30"/>
      <c r="BQ18" s="42"/>
      <c r="BR18" s="42"/>
      <c r="BS18" s="32">
        <f t="shared" si="24"/>
        <v>0.601</v>
      </c>
      <c r="BT18" s="32">
        <f t="shared" si="15"/>
        <v>0</v>
      </c>
      <c r="BU18" s="32">
        <f t="shared" si="16"/>
        <v>0</v>
      </c>
      <c r="BV18" s="32">
        <f t="shared" si="17"/>
        <v>0.018</v>
      </c>
      <c r="BW18" s="32">
        <f t="shared" si="18"/>
        <v>1.922</v>
      </c>
      <c r="BX18" s="32">
        <f t="shared" si="19"/>
        <v>0</v>
      </c>
      <c r="BY18" s="32">
        <f t="shared" si="20"/>
        <v>0.129</v>
      </c>
      <c r="BZ18" s="32">
        <f>ROUNDUP(AE18/I18*100,3)</f>
        <v>0.924</v>
      </c>
      <c r="CA18" s="32">
        <f t="shared" si="22"/>
        <v>0</v>
      </c>
      <c r="CB18" s="32">
        <f t="shared" si="23"/>
        <v>0.04</v>
      </c>
      <c r="CC18" s="32">
        <f t="shared" si="3"/>
        <v>3.634</v>
      </c>
      <c r="CD18" s="113">
        <f t="shared" si="4"/>
        <v>84.17</v>
      </c>
      <c r="CE18" s="32">
        <f t="shared" si="5"/>
        <v>3.0530545241742804</v>
      </c>
      <c r="CF18" s="80"/>
      <c r="CG18" s="77"/>
      <c r="CH18" s="77"/>
      <c r="CI18" s="77"/>
      <c r="CJ18" s="56"/>
      <c r="CK18" s="105" t="s">
        <v>188</v>
      </c>
      <c r="CL18" s="44" t="s">
        <v>190</v>
      </c>
      <c r="CM18" s="104">
        <v>122413067</v>
      </c>
      <c r="CN18" s="110">
        <v>305460</v>
      </c>
      <c r="CO18" s="102">
        <f>ROUNDUP(CN18/(CM18/100),3)</f>
        <v>0.25</v>
      </c>
    </row>
    <row r="19" spans="1:93" s="5" customFormat="1" ht="17.25" customHeight="1">
      <c r="A19" s="59" t="s">
        <v>50</v>
      </c>
      <c r="B19" s="37" t="s">
        <v>51</v>
      </c>
      <c r="C19" s="34">
        <v>4152366900</v>
      </c>
      <c r="D19" s="34">
        <v>8049757600</v>
      </c>
      <c r="E19" s="8">
        <f t="shared" si="6"/>
        <v>12202124500</v>
      </c>
      <c r="F19" s="38">
        <v>48084400</v>
      </c>
      <c r="G19" s="51">
        <f t="shared" si="7"/>
        <v>12154040100</v>
      </c>
      <c r="H19" s="35">
        <v>82061076</v>
      </c>
      <c r="I19" s="8">
        <f t="shared" si="8"/>
        <v>12236101176</v>
      </c>
      <c r="J19" s="57">
        <f t="shared" si="9"/>
        <v>3.44</v>
      </c>
      <c r="K19" s="112">
        <v>93.08</v>
      </c>
      <c r="L19" s="40"/>
      <c r="M19" s="35"/>
      <c r="N19" s="72"/>
      <c r="O19" s="73">
        <v>1536177594</v>
      </c>
      <c r="P19" s="8">
        <f t="shared" si="10"/>
        <v>13772278770</v>
      </c>
      <c r="Q19" s="14">
        <f t="shared" si="0"/>
        <v>69820509.12</v>
      </c>
      <c r="R19" s="64"/>
      <c r="S19" s="64"/>
      <c r="T19" s="74">
        <v>841850.8</v>
      </c>
      <c r="U19" s="74"/>
      <c r="V19" s="75">
        <f t="shared" si="11"/>
        <v>68978658.32000001</v>
      </c>
      <c r="W19" s="42">
        <v>0</v>
      </c>
      <c r="X19" s="16">
        <f t="shared" si="12"/>
        <v>68978658.32000001</v>
      </c>
      <c r="Y19" s="76">
        <v>0</v>
      </c>
      <c r="Z19" s="76">
        <v>0</v>
      </c>
      <c r="AA19" s="43">
        <v>2055772.66</v>
      </c>
      <c r="AB19" s="41">
        <v>118306118</v>
      </c>
      <c r="AC19" s="41">
        <v>0</v>
      </c>
      <c r="AD19" s="41">
        <v>5537179</v>
      </c>
      <c r="AE19" s="41">
        <v>217901315.82</v>
      </c>
      <c r="AF19" s="41">
        <v>3670830.25</v>
      </c>
      <c r="AG19" s="41">
        <v>4419334</v>
      </c>
      <c r="AH19" s="15">
        <f t="shared" si="13"/>
        <v>420869208.05</v>
      </c>
      <c r="AI19" s="77">
        <v>1104429600</v>
      </c>
      <c r="AJ19" s="77">
        <v>1166864000</v>
      </c>
      <c r="AK19" s="77">
        <v>5846942500</v>
      </c>
      <c r="AL19" s="77">
        <v>1261247600</v>
      </c>
      <c r="AM19" s="77">
        <v>109804600</v>
      </c>
      <c r="AN19" s="77">
        <v>1766758200</v>
      </c>
      <c r="AO19" s="13">
        <f t="shared" si="1"/>
        <v>11256046500</v>
      </c>
      <c r="AP19" s="101">
        <v>0</v>
      </c>
      <c r="AQ19" s="78">
        <v>419122260.73</v>
      </c>
      <c r="AR19" s="78">
        <v>11000000</v>
      </c>
      <c r="AS19" s="61">
        <f t="shared" si="2"/>
        <v>430122260.73</v>
      </c>
      <c r="AT19" s="77">
        <v>76000</v>
      </c>
      <c r="AU19" s="77">
        <v>193500</v>
      </c>
      <c r="AV19" s="77">
        <v>248000</v>
      </c>
      <c r="AW19" s="77">
        <v>2217200</v>
      </c>
      <c r="AX19" s="77">
        <v>0</v>
      </c>
      <c r="AY19" s="77">
        <v>0</v>
      </c>
      <c r="AZ19" s="77">
        <v>5394300</v>
      </c>
      <c r="BA19" s="77">
        <v>39401600</v>
      </c>
      <c r="BB19" s="77"/>
      <c r="BC19" s="77"/>
      <c r="BD19" s="77"/>
      <c r="BE19" s="77">
        <v>0</v>
      </c>
      <c r="BF19" s="77">
        <v>675000</v>
      </c>
      <c r="BG19" s="77">
        <v>0</v>
      </c>
      <c r="BH19" s="77">
        <v>0</v>
      </c>
      <c r="BI19" s="77">
        <v>0</v>
      </c>
      <c r="BJ19" s="77">
        <v>0</v>
      </c>
      <c r="BK19" s="77">
        <v>148300</v>
      </c>
      <c r="BL19" s="79">
        <f t="shared" si="14"/>
        <v>48084400</v>
      </c>
      <c r="BM19" s="77"/>
      <c r="BN19" s="77">
        <v>1111782</v>
      </c>
      <c r="BO19" s="77">
        <v>0</v>
      </c>
      <c r="BP19" s="30"/>
      <c r="BQ19" s="42"/>
      <c r="BR19" s="42"/>
      <c r="BS19" s="32">
        <f t="shared" si="24"/>
        <v>0.564</v>
      </c>
      <c r="BT19" s="32">
        <f t="shared" si="15"/>
        <v>0</v>
      </c>
      <c r="BU19" s="32">
        <f t="shared" si="16"/>
        <v>0</v>
      </c>
      <c r="BV19" s="32">
        <f t="shared" si="17"/>
        <v>0.017</v>
      </c>
      <c r="BW19" s="32">
        <f t="shared" si="18"/>
        <v>0.967</v>
      </c>
      <c r="BX19" s="32">
        <f t="shared" si="19"/>
        <v>0</v>
      </c>
      <c r="BY19" s="32">
        <f t="shared" si="20"/>
        <v>0.045</v>
      </c>
      <c r="BZ19" s="32">
        <f t="shared" si="21"/>
        <v>1.781</v>
      </c>
      <c r="CA19" s="32">
        <f t="shared" si="22"/>
        <v>0.03</v>
      </c>
      <c r="CB19" s="32">
        <f t="shared" si="23"/>
        <v>0.036</v>
      </c>
      <c r="CC19" s="32">
        <f t="shared" si="3"/>
        <v>3.44</v>
      </c>
      <c r="CD19" s="113">
        <f t="shared" si="4"/>
        <v>93.08</v>
      </c>
      <c r="CE19" s="32">
        <f t="shared" si="5"/>
        <v>3.055915546574432</v>
      </c>
      <c r="CF19" s="80"/>
      <c r="CG19" s="77"/>
      <c r="CH19" s="77"/>
      <c r="CI19" s="77"/>
      <c r="CJ19" s="56"/>
      <c r="CK19" s="105" t="s">
        <v>191</v>
      </c>
      <c r="CL19" s="44" t="s">
        <v>179</v>
      </c>
      <c r="CM19" s="104">
        <v>138047100</v>
      </c>
      <c r="CN19" s="110">
        <v>66262.63</v>
      </c>
      <c r="CO19" s="102">
        <f>ROUND(CN19/(CM19/100),3)</f>
        <v>0.048</v>
      </c>
    </row>
    <row r="20" spans="1:93" s="5" customFormat="1" ht="17.25" customHeight="1">
      <c r="A20" s="59" t="s">
        <v>52</v>
      </c>
      <c r="B20" s="60" t="s">
        <v>53</v>
      </c>
      <c r="C20" s="34">
        <v>726763500</v>
      </c>
      <c r="D20" s="34">
        <v>864465900</v>
      </c>
      <c r="E20" s="8">
        <f t="shared" si="6"/>
        <v>1591229400</v>
      </c>
      <c r="F20" s="38">
        <v>0</v>
      </c>
      <c r="G20" s="51">
        <f t="shared" si="7"/>
        <v>1591229400</v>
      </c>
      <c r="H20" s="35">
        <v>472000</v>
      </c>
      <c r="I20" s="8">
        <f t="shared" si="8"/>
        <v>1591701400</v>
      </c>
      <c r="J20" s="57">
        <f t="shared" si="9"/>
        <v>2.2479999999999998</v>
      </c>
      <c r="K20" s="112">
        <v>92.12</v>
      </c>
      <c r="L20" s="40"/>
      <c r="M20" s="35"/>
      <c r="N20" s="72"/>
      <c r="O20" s="73">
        <v>137387355</v>
      </c>
      <c r="P20" s="8">
        <f t="shared" si="10"/>
        <v>1729088755</v>
      </c>
      <c r="Q20" s="14">
        <f t="shared" si="0"/>
        <v>8765859.24</v>
      </c>
      <c r="R20" s="64"/>
      <c r="S20" s="64"/>
      <c r="T20" s="74">
        <v>10416.28</v>
      </c>
      <c r="U20" s="74"/>
      <c r="V20" s="75">
        <f t="shared" si="11"/>
        <v>8755442.96</v>
      </c>
      <c r="W20" s="42">
        <v>0</v>
      </c>
      <c r="X20" s="16">
        <f t="shared" si="12"/>
        <v>8755442.96</v>
      </c>
      <c r="Y20" s="76">
        <v>0</v>
      </c>
      <c r="Z20" s="76">
        <v>0</v>
      </c>
      <c r="AA20" s="43">
        <v>261604.26</v>
      </c>
      <c r="AB20" s="41">
        <v>12548075</v>
      </c>
      <c r="AC20" s="41">
        <v>8090930</v>
      </c>
      <c r="AD20" s="41">
        <v>0</v>
      </c>
      <c r="AE20" s="41">
        <v>6111993.05</v>
      </c>
      <c r="AF20" s="41">
        <v>0</v>
      </c>
      <c r="AG20" s="41">
        <v>0</v>
      </c>
      <c r="AH20" s="15">
        <f t="shared" si="13"/>
        <v>35768045.269999996</v>
      </c>
      <c r="AI20" s="77">
        <v>132427700</v>
      </c>
      <c r="AJ20" s="77">
        <v>0</v>
      </c>
      <c r="AK20" s="77">
        <v>19457600</v>
      </c>
      <c r="AL20" s="77">
        <v>17571900</v>
      </c>
      <c r="AM20" s="77">
        <v>0</v>
      </c>
      <c r="AN20" s="77">
        <v>4380300</v>
      </c>
      <c r="AO20" s="13">
        <f t="shared" si="1"/>
        <v>173837500</v>
      </c>
      <c r="AP20" s="78">
        <v>515000</v>
      </c>
      <c r="AQ20" s="78">
        <v>2002057.92</v>
      </c>
      <c r="AR20" s="78">
        <v>274145</v>
      </c>
      <c r="AS20" s="61">
        <f t="shared" si="2"/>
        <v>2791202.92</v>
      </c>
      <c r="AT20" s="77">
        <v>1250</v>
      </c>
      <c r="AU20" s="77">
        <v>30750</v>
      </c>
      <c r="AV20" s="77">
        <v>0</v>
      </c>
      <c r="AW20" s="77">
        <v>0</v>
      </c>
      <c r="AX20" s="77">
        <v>0</v>
      </c>
      <c r="AY20" s="77">
        <v>0</v>
      </c>
      <c r="AZ20" s="77">
        <v>0</v>
      </c>
      <c r="BA20" s="77">
        <v>0</v>
      </c>
      <c r="BB20" s="77"/>
      <c r="BC20" s="77"/>
      <c r="BD20" s="77"/>
      <c r="BE20" s="77">
        <v>0</v>
      </c>
      <c r="BF20" s="77">
        <v>0</v>
      </c>
      <c r="BG20" s="77">
        <v>0</v>
      </c>
      <c r="BH20" s="77">
        <v>0</v>
      </c>
      <c r="BI20" s="77">
        <v>0</v>
      </c>
      <c r="BJ20" s="77">
        <v>0</v>
      </c>
      <c r="BK20" s="77">
        <v>0</v>
      </c>
      <c r="BL20" s="79">
        <f t="shared" si="14"/>
        <v>0</v>
      </c>
      <c r="BM20" s="77"/>
      <c r="BN20" s="77">
        <v>0</v>
      </c>
      <c r="BO20" s="77">
        <v>0</v>
      </c>
      <c r="BP20" s="30"/>
      <c r="BQ20" s="42"/>
      <c r="BR20" s="42"/>
      <c r="BS20" s="32">
        <f t="shared" si="24"/>
        <v>0.55</v>
      </c>
      <c r="BT20" s="32">
        <f t="shared" si="15"/>
        <v>0</v>
      </c>
      <c r="BU20" s="32">
        <f t="shared" si="16"/>
        <v>0</v>
      </c>
      <c r="BV20" s="32">
        <f>ROUNDUP(AA20/I20*100,3)</f>
        <v>0.017</v>
      </c>
      <c r="BW20" s="32">
        <f>ROUND(AB20/I20*100,3)+0.001</f>
        <v>0.789</v>
      </c>
      <c r="BX20" s="32">
        <f t="shared" si="19"/>
        <v>0.508</v>
      </c>
      <c r="BY20" s="32">
        <f t="shared" si="20"/>
        <v>0</v>
      </c>
      <c r="BZ20" s="32">
        <f t="shared" si="21"/>
        <v>0.384</v>
      </c>
      <c r="CA20" s="32">
        <f t="shared" si="22"/>
        <v>0</v>
      </c>
      <c r="CB20" s="32">
        <f t="shared" si="23"/>
        <v>0</v>
      </c>
      <c r="CC20" s="32">
        <f t="shared" si="3"/>
        <v>2.2479999999999998</v>
      </c>
      <c r="CD20" s="113">
        <f t="shared" si="4"/>
        <v>92.12</v>
      </c>
      <c r="CE20" s="32">
        <f t="shared" si="5"/>
        <v>2.068606667330966</v>
      </c>
      <c r="CF20" s="80"/>
      <c r="CG20" s="77"/>
      <c r="CH20" s="77"/>
      <c r="CI20" s="77"/>
      <c r="CJ20" s="56"/>
      <c r="CK20" s="105" t="s">
        <v>191</v>
      </c>
      <c r="CL20" s="44" t="s">
        <v>184</v>
      </c>
      <c r="CM20" s="104">
        <v>53700000</v>
      </c>
      <c r="CN20" s="110">
        <v>16110</v>
      </c>
      <c r="CO20" s="102">
        <f>ROUNDUP(CN20/(CM20/100),3)</f>
        <v>0.03</v>
      </c>
    </row>
    <row r="21" spans="1:93" s="5" customFormat="1" ht="17.25" customHeight="1">
      <c r="A21" s="59" t="s">
        <v>54</v>
      </c>
      <c r="B21" s="60" t="s">
        <v>55</v>
      </c>
      <c r="C21" s="34">
        <v>1392238200</v>
      </c>
      <c r="D21" s="34">
        <v>1856505300</v>
      </c>
      <c r="E21" s="8">
        <f t="shared" si="6"/>
        <v>3248743500</v>
      </c>
      <c r="F21" s="38">
        <v>0</v>
      </c>
      <c r="G21" s="51">
        <f t="shared" si="7"/>
        <v>3248743500</v>
      </c>
      <c r="H21" s="35">
        <v>9100</v>
      </c>
      <c r="I21" s="8">
        <f t="shared" si="8"/>
        <v>3248752600</v>
      </c>
      <c r="J21" s="57">
        <f t="shared" si="9"/>
        <v>3.37</v>
      </c>
      <c r="K21" s="112">
        <v>90.63</v>
      </c>
      <c r="L21" s="40"/>
      <c r="M21" s="35"/>
      <c r="N21" s="72"/>
      <c r="O21" s="73">
        <v>355628285</v>
      </c>
      <c r="P21" s="8">
        <f t="shared" si="10"/>
        <v>3604380885</v>
      </c>
      <c r="Q21" s="14">
        <f t="shared" si="0"/>
        <v>18272917.11</v>
      </c>
      <c r="R21" s="64"/>
      <c r="S21" s="64"/>
      <c r="T21" s="74">
        <v>17685.31</v>
      </c>
      <c r="U21" s="74"/>
      <c r="V21" s="75">
        <f t="shared" si="11"/>
        <v>18255231.8</v>
      </c>
      <c r="W21" s="100">
        <v>904096</v>
      </c>
      <c r="X21" s="16">
        <f t="shared" si="12"/>
        <v>17351135.8</v>
      </c>
      <c r="Y21" s="76">
        <v>0</v>
      </c>
      <c r="Z21" s="76">
        <v>0</v>
      </c>
      <c r="AA21" s="43">
        <v>545389.22</v>
      </c>
      <c r="AB21" s="41">
        <v>52686922</v>
      </c>
      <c r="AC21" s="41">
        <v>0</v>
      </c>
      <c r="AD21" s="41">
        <v>0</v>
      </c>
      <c r="AE21" s="41">
        <v>37687738.87</v>
      </c>
      <c r="AF21" s="41">
        <v>0</v>
      </c>
      <c r="AG21" s="41">
        <v>1191611.13</v>
      </c>
      <c r="AH21" s="15">
        <f t="shared" si="13"/>
        <v>109462797.01999998</v>
      </c>
      <c r="AI21" s="77">
        <v>66971252</v>
      </c>
      <c r="AJ21" s="77">
        <v>10056826</v>
      </c>
      <c r="AK21" s="77">
        <v>49437816</v>
      </c>
      <c r="AL21" s="77">
        <v>45200605</v>
      </c>
      <c r="AM21" s="77">
        <v>2381700</v>
      </c>
      <c r="AN21" s="77">
        <v>26616400</v>
      </c>
      <c r="AO21" s="13">
        <f t="shared" si="1"/>
        <v>200664599</v>
      </c>
      <c r="AP21" s="78">
        <v>4654000</v>
      </c>
      <c r="AQ21" s="78">
        <v>10801874</v>
      </c>
      <c r="AR21" s="78">
        <v>1148922</v>
      </c>
      <c r="AS21" s="61">
        <f t="shared" si="2"/>
        <v>16604796</v>
      </c>
      <c r="AT21" s="77">
        <v>32500</v>
      </c>
      <c r="AU21" s="77">
        <v>175500</v>
      </c>
      <c r="AV21" s="77">
        <v>0</v>
      </c>
      <c r="AW21" s="77">
        <v>0</v>
      </c>
      <c r="AX21" s="77">
        <v>0</v>
      </c>
      <c r="AY21" s="77">
        <v>0</v>
      </c>
      <c r="AZ21" s="77">
        <v>0</v>
      </c>
      <c r="BA21" s="77">
        <v>0</v>
      </c>
      <c r="BB21" s="77"/>
      <c r="BC21" s="77"/>
      <c r="BD21" s="77"/>
      <c r="BE21" s="77">
        <v>0</v>
      </c>
      <c r="BF21" s="77">
        <v>0</v>
      </c>
      <c r="BG21" s="77">
        <v>0</v>
      </c>
      <c r="BH21" s="77">
        <v>0</v>
      </c>
      <c r="BI21" s="77">
        <v>0</v>
      </c>
      <c r="BJ21" s="77">
        <v>0</v>
      </c>
      <c r="BK21" s="77">
        <v>0</v>
      </c>
      <c r="BL21" s="79">
        <f t="shared" si="14"/>
        <v>0</v>
      </c>
      <c r="BM21" s="77"/>
      <c r="BN21" s="77">
        <v>2652458</v>
      </c>
      <c r="BO21" s="77">
        <v>0</v>
      </c>
      <c r="BP21" s="30"/>
      <c r="BQ21" s="42"/>
      <c r="BR21" s="42"/>
      <c r="BS21" s="32">
        <f t="shared" si="24"/>
        <v>0.534</v>
      </c>
      <c r="BT21" s="32">
        <f t="shared" si="15"/>
        <v>0</v>
      </c>
      <c r="BU21" s="32">
        <f t="shared" si="16"/>
        <v>0</v>
      </c>
      <c r="BV21" s="32">
        <f t="shared" si="17"/>
        <v>0.017</v>
      </c>
      <c r="BW21" s="32">
        <f t="shared" si="18"/>
        <v>1.622</v>
      </c>
      <c r="BX21" s="32">
        <f t="shared" si="19"/>
        <v>0</v>
      </c>
      <c r="BY21" s="32">
        <f t="shared" si="20"/>
        <v>0</v>
      </c>
      <c r="BZ21" s="32">
        <f t="shared" si="21"/>
        <v>1.16</v>
      </c>
      <c r="CA21" s="32">
        <f t="shared" si="22"/>
        <v>0</v>
      </c>
      <c r="CB21" s="32">
        <f t="shared" si="23"/>
        <v>0.037</v>
      </c>
      <c r="CC21" s="32">
        <f t="shared" si="3"/>
        <v>3.37</v>
      </c>
      <c r="CD21" s="113">
        <f t="shared" si="4"/>
        <v>90.63</v>
      </c>
      <c r="CE21" s="32">
        <f>(AH21/P21*100)+0.025</f>
        <v>3.0619375632730885</v>
      </c>
      <c r="CF21" s="80"/>
      <c r="CG21" s="77"/>
      <c r="CH21" s="77"/>
      <c r="CI21" s="77"/>
      <c r="CJ21" s="56"/>
      <c r="CK21" s="105" t="s">
        <v>192</v>
      </c>
      <c r="CL21" s="44" t="s">
        <v>179</v>
      </c>
      <c r="CM21" s="58">
        <v>56392100</v>
      </c>
      <c r="CN21" s="110">
        <v>47933.29</v>
      </c>
      <c r="CO21" s="102">
        <f>ROUNDUP(CN21/(CM21/100),3)-0.001</f>
        <v>0.085</v>
      </c>
    </row>
    <row r="22" spans="1:93" s="5" customFormat="1" ht="17.25" customHeight="1">
      <c r="A22" s="59" t="s">
        <v>56</v>
      </c>
      <c r="B22" s="60" t="s">
        <v>57</v>
      </c>
      <c r="C22" s="34">
        <v>387367100</v>
      </c>
      <c r="D22" s="34">
        <v>896535300</v>
      </c>
      <c r="E22" s="8">
        <f t="shared" si="6"/>
        <v>1283902400</v>
      </c>
      <c r="F22" s="38">
        <v>1250800</v>
      </c>
      <c r="G22" s="51">
        <f t="shared" si="7"/>
        <v>1282651600</v>
      </c>
      <c r="H22" s="35">
        <v>2162247</v>
      </c>
      <c r="I22" s="8">
        <f t="shared" si="8"/>
        <v>1284813847</v>
      </c>
      <c r="J22" s="57">
        <f t="shared" si="9"/>
        <v>4.7780000000000005</v>
      </c>
      <c r="K22" s="112">
        <v>89.64</v>
      </c>
      <c r="L22" s="40"/>
      <c r="M22" s="35"/>
      <c r="N22" s="72"/>
      <c r="O22" s="73">
        <v>166999781</v>
      </c>
      <c r="P22" s="8">
        <f t="shared" si="10"/>
        <v>1451813628</v>
      </c>
      <c r="Q22" s="14">
        <f t="shared" si="0"/>
        <v>7360173.89</v>
      </c>
      <c r="R22" s="64"/>
      <c r="S22" s="64"/>
      <c r="T22" s="74">
        <v>105791.27</v>
      </c>
      <c r="U22" s="74"/>
      <c r="V22" s="75">
        <f t="shared" si="11"/>
        <v>7254382.62</v>
      </c>
      <c r="W22" s="42">
        <v>0</v>
      </c>
      <c r="X22" s="16">
        <f t="shared" si="12"/>
        <v>7254382.62</v>
      </c>
      <c r="Y22" s="76">
        <v>0</v>
      </c>
      <c r="Z22" s="76">
        <v>0</v>
      </c>
      <c r="AA22" s="43">
        <v>216349.08</v>
      </c>
      <c r="AB22" s="41">
        <v>11809218</v>
      </c>
      <c r="AC22" s="41">
        <v>0</v>
      </c>
      <c r="AD22" s="41">
        <v>147304</v>
      </c>
      <c r="AE22" s="41">
        <v>41480699.9</v>
      </c>
      <c r="AF22" s="41">
        <v>0</v>
      </c>
      <c r="AG22" s="41">
        <v>479235.09</v>
      </c>
      <c r="AH22" s="15">
        <f t="shared" si="13"/>
        <v>61387188.69</v>
      </c>
      <c r="AI22" s="77">
        <v>106651872</v>
      </c>
      <c r="AJ22" s="77">
        <v>9328500</v>
      </c>
      <c r="AK22" s="77">
        <v>101787500</v>
      </c>
      <c r="AL22" s="77">
        <v>72252200</v>
      </c>
      <c r="AM22" s="77">
        <v>17462700</v>
      </c>
      <c r="AN22" s="77">
        <v>141898800</v>
      </c>
      <c r="AO22" s="13">
        <f t="shared" si="1"/>
        <v>449381572</v>
      </c>
      <c r="AP22" s="78">
        <v>2110000</v>
      </c>
      <c r="AQ22" s="78">
        <v>15909752.49</v>
      </c>
      <c r="AR22" s="78">
        <v>3000000</v>
      </c>
      <c r="AS22" s="61">
        <f t="shared" si="2"/>
        <v>21019752.490000002</v>
      </c>
      <c r="AT22" s="77">
        <v>34750</v>
      </c>
      <c r="AU22" s="77">
        <v>37750</v>
      </c>
      <c r="AV22" s="77">
        <v>0</v>
      </c>
      <c r="AW22" s="77">
        <v>0</v>
      </c>
      <c r="AX22" s="77">
        <v>0</v>
      </c>
      <c r="AY22" s="77">
        <v>0</v>
      </c>
      <c r="AZ22" s="77">
        <v>0</v>
      </c>
      <c r="BA22" s="77">
        <v>0</v>
      </c>
      <c r="BB22" s="77"/>
      <c r="BC22" s="77"/>
      <c r="BD22" s="77"/>
      <c r="BE22" s="77">
        <v>24000</v>
      </c>
      <c r="BF22" s="77">
        <v>60900</v>
      </c>
      <c r="BG22" s="77">
        <v>294900</v>
      </c>
      <c r="BH22" s="77">
        <v>686600</v>
      </c>
      <c r="BI22" s="77">
        <v>0</v>
      </c>
      <c r="BJ22" s="77">
        <v>0</v>
      </c>
      <c r="BK22" s="77">
        <v>184400</v>
      </c>
      <c r="BL22" s="79">
        <f t="shared" si="14"/>
        <v>1250800</v>
      </c>
      <c r="BM22" s="77"/>
      <c r="BN22" s="77">
        <v>0</v>
      </c>
      <c r="BO22" s="77">
        <v>0</v>
      </c>
      <c r="BP22" s="30"/>
      <c r="BQ22" s="42"/>
      <c r="BR22" s="42"/>
      <c r="BS22" s="32">
        <f t="shared" si="24"/>
        <v>0.565</v>
      </c>
      <c r="BT22" s="32">
        <f t="shared" si="15"/>
        <v>0</v>
      </c>
      <c r="BU22" s="32">
        <f t="shared" si="16"/>
        <v>0</v>
      </c>
      <c r="BV22" s="32">
        <f t="shared" si="17"/>
        <v>0.017</v>
      </c>
      <c r="BW22" s="32">
        <f t="shared" si="18"/>
        <v>0.919</v>
      </c>
      <c r="BX22" s="32">
        <f t="shared" si="19"/>
        <v>0</v>
      </c>
      <c r="BY22" s="32">
        <f t="shared" si="20"/>
        <v>0.011</v>
      </c>
      <c r="BZ22" s="32">
        <f t="shared" si="21"/>
        <v>3.229</v>
      </c>
      <c r="CA22" s="32">
        <f t="shared" si="22"/>
        <v>0</v>
      </c>
      <c r="CB22" s="32">
        <f t="shared" si="23"/>
        <v>0.037</v>
      </c>
      <c r="CC22" s="32">
        <f t="shared" si="3"/>
        <v>4.7780000000000005</v>
      </c>
      <c r="CD22" s="113">
        <f t="shared" si="4"/>
        <v>89.64</v>
      </c>
      <c r="CE22" s="32">
        <f aca="true" t="shared" si="25" ref="CE22:CE28">AH22/P22*100</f>
        <v>4.228310542487895</v>
      </c>
      <c r="CF22" s="80"/>
      <c r="CG22" s="77"/>
      <c r="CH22" s="77"/>
      <c r="CI22" s="77"/>
      <c r="CJ22" s="56"/>
      <c r="CK22" s="105" t="s">
        <v>192</v>
      </c>
      <c r="CL22" s="44" t="s">
        <v>184</v>
      </c>
      <c r="CM22" s="58">
        <v>49157100</v>
      </c>
      <c r="CN22" s="110">
        <v>37850.97</v>
      </c>
      <c r="CO22" s="102">
        <f>ROUND(CN22/(CM22/100),3)</f>
        <v>0.077</v>
      </c>
    </row>
    <row r="23" spans="1:93" s="5" customFormat="1" ht="17.25" customHeight="1">
      <c r="A23" s="59" t="s">
        <v>58</v>
      </c>
      <c r="B23" s="60" t="s">
        <v>59</v>
      </c>
      <c r="C23" s="34">
        <v>778779700</v>
      </c>
      <c r="D23" s="34">
        <v>920264200</v>
      </c>
      <c r="E23" s="8">
        <f t="shared" si="6"/>
        <v>1699043900</v>
      </c>
      <c r="F23" s="38">
        <v>0</v>
      </c>
      <c r="G23" s="51">
        <f t="shared" si="7"/>
        <v>1699043900</v>
      </c>
      <c r="H23" s="35">
        <v>1559200</v>
      </c>
      <c r="I23" s="8">
        <f t="shared" si="8"/>
        <v>1700603100</v>
      </c>
      <c r="J23" s="57">
        <f t="shared" si="9"/>
        <v>2.218</v>
      </c>
      <c r="K23" s="112">
        <v>93.93</v>
      </c>
      <c r="L23" s="40"/>
      <c r="M23" s="35"/>
      <c r="N23" s="72"/>
      <c r="O23" s="73">
        <v>117729521</v>
      </c>
      <c r="P23" s="8">
        <f t="shared" si="10"/>
        <v>1818332621</v>
      </c>
      <c r="Q23" s="14">
        <f t="shared" si="0"/>
        <v>9218293.61</v>
      </c>
      <c r="R23" s="64"/>
      <c r="S23" s="64"/>
      <c r="T23" s="74">
        <v>19387.66</v>
      </c>
      <c r="U23" s="74"/>
      <c r="V23" s="75">
        <f t="shared" si="11"/>
        <v>9198905.95</v>
      </c>
      <c r="W23" s="42">
        <v>0</v>
      </c>
      <c r="X23" s="16">
        <f t="shared" si="12"/>
        <v>9198905.95</v>
      </c>
      <c r="Y23" s="76">
        <v>0</v>
      </c>
      <c r="Z23" s="76">
        <v>0</v>
      </c>
      <c r="AA23" s="43">
        <v>274831.59</v>
      </c>
      <c r="AB23" s="41">
        <v>8192042</v>
      </c>
      <c r="AC23" s="41">
        <v>9413525</v>
      </c>
      <c r="AD23" s="41">
        <v>0</v>
      </c>
      <c r="AE23" s="41">
        <v>9691881.92</v>
      </c>
      <c r="AF23" s="41">
        <v>340120.62</v>
      </c>
      <c r="AG23" s="41">
        <v>598609.24</v>
      </c>
      <c r="AH23" s="15">
        <f t="shared" si="13"/>
        <v>37709916.32</v>
      </c>
      <c r="AI23" s="77">
        <v>9421800</v>
      </c>
      <c r="AJ23" s="77">
        <v>0</v>
      </c>
      <c r="AK23" s="77">
        <v>31157680</v>
      </c>
      <c r="AL23" s="77">
        <v>14165600</v>
      </c>
      <c r="AM23" s="77">
        <v>100800</v>
      </c>
      <c r="AN23" s="77">
        <v>2962000</v>
      </c>
      <c r="AO23" s="13">
        <f t="shared" si="1"/>
        <v>57807880</v>
      </c>
      <c r="AP23" s="78">
        <v>937000</v>
      </c>
      <c r="AQ23" s="78">
        <v>3344243.19</v>
      </c>
      <c r="AR23" s="78">
        <v>218000</v>
      </c>
      <c r="AS23" s="61">
        <f t="shared" si="2"/>
        <v>4499243.1899999995</v>
      </c>
      <c r="AT23" s="77">
        <v>6250</v>
      </c>
      <c r="AU23" s="77">
        <v>41250</v>
      </c>
      <c r="AV23" s="77">
        <v>0</v>
      </c>
      <c r="AW23" s="77">
        <v>0</v>
      </c>
      <c r="AX23" s="77">
        <v>0</v>
      </c>
      <c r="AY23" s="77">
        <v>0</v>
      </c>
      <c r="AZ23" s="77">
        <v>0</v>
      </c>
      <c r="BA23" s="77">
        <v>0</v>
      </c>
      <c r="BB23" s="77"/>
      <c r="BC23" s="77"/>
      <c r="BD23" s="77"/>
      <c r="BE23" s="77">
        <v>0</v>
      </c>
      <c r="BF23" s="77">
        <v>0</v>
      </c>
      <c r="BG23" s="77">
        <v>0</v>
      </c>
      <c r="BH23" s="77">
        <v>0</v>
      </c>
      <c r="BI23" s="77">
        <v>0</v>
      </c>
      <c r="BJ23" s="77">
        <v>0</v>
      </c>
      <c r="BK23" s="77">
        <v>0</v>
      </c>
      <c r="BL23" s="79">
        <f t="shared" si="14"/>
        <v>0</v>
      </c>
      <c r="BM23" s="77"/>
      <c r="BN23" s="77">
        <v>0</v>
      </c>
      <c r="BO23" s="77">
        <v>0</v>
      </c>
      <c r="BP23" s="30"/>
      <c r="BQ23" s="42"/>
      <c r="BR23" s="42"/>
      <c r="BS23" s="32">
        <f t="shared" si="24"/>
        <v>0.541</v>
      </c>
      <c r="BT23" s="32">
        <f t="shared" si="15"/>
        <v>0</v>
      </c>
      <c r="BU23" s="32">
        <f t="shared" si="16"/>
        <v>0</v>
      </c>
      <c r="BV23" s="32">
        <f t="shared" si="17"/>
        <v>0.016</v>
      </c>
      <c r="BW23" s="32">
        <f t="shared" si="18"/>
        <v>0.482</v>
      </c>
      <c r="BX23" s="32">
        <f t="shared" si="19"/>
        <v>0.554</v>
      </c>
      <c r="BY23" s="32">
        <f t="shared" si="20"/>
        <v>0</v>
      </c>
      <c r="BZ23" s="32">
        <f t="shared" si="21"/>
        <v>0.57</v>
      </c>
      <c r="CA23" s="32">
        <f t="shared" si="22"/>
        <v>0.02</v>
      </c>
      <c r="CB23" s="32">
        <f t="shared" si="23"/>
        <v>0.035</v>
      </c>
      <c r="CC23" s="32">
        <f t="shared" si="3"/>
        <v>2.218</v>
      </c>
      <c r="CD23" s="113">
        <f t="shared" si="4"/>
        <v>93.93</v>
      </c>
      <c r="CE23" s="32">
        <f t="shared" si="25"/>
        <v>2.0738733873267514</v>
      </c>
      <c r="CF23" s="80"/>
      <c r="CG23" s="77"/>
      <c r="CH23" s="77"/>
      <c r="CI23" s="77"/>
      <c r="CJ23" s="56"/>
      <c r="CK23" s="105" t="s">
        <v>192</v>
      </c>
      <c r="CL23" s="44" t="s">
        <v>189</v>
      </c>
      <c r="CM23" s="58">
        <v>25874100</v>
      </c>
      <c r="CN23" s="110">
        <v>19405.58</v>
      </c>
      <c r="CO23" s="102">
        <f>ROUND(CN23/(CM23/100),3)</f>
        <v>0.075</v>
      </c>
    </row>
    <row r="24" spans="1:93" s="5" customFormat="1" ht="17.25" customHeight="1">
      <c r="A24" s="59" t="s">
        <v>60</v>
      </c>
      <c r="B24" s="60" t="s">
        <v>61</v>
      </c>
      <c r="C24" s="34">
        <v>886740900</v>
      </c>
      <c r="D24" s="34">
        <v>1344022300</v>
      </c>
      <c r="E24" s="8">
        <f t="shared" si="6"/>
        <v>2230763200</v>
      </c>
      <c r="F24" s="38">
        <v>0</v>
      </c>
      <c r="G24" s="51">
        <f t="shared" si="7"/>
        <v>2230763200</v>
      </c>
      <c r="H24" s="35">
        <v>4168303</v>
      </c>
      <c r="I24" s="8">
        <f t="shared" si="8"/>
        <v>2234931503</v>
      </c>
      <c r="J24" s="57">
        <f t="shared" si="9"/>
        <v>3.828</v>
      </c>
      <c r="K24" s="112">
        <v>85.28</v>
      </c>
      <c r="L24" s="40"/>
      <c r="M24" s="35"/>
      <c r="N24" s="72"/>
      <c r="O24" s="73">
        <v>390066132</v>
      </c>
      <c r="P24" s="8">
        <f t="shared" si="10"/>
        <v>2624997635</v>
      </c>
      <c r="Q24" s="14">
        <f t="shared" si="0"/>
        <v>13307795.64</v>
      </c>
      <c r="R24" s="64"/>
      <c r="S24" s="64"/>
      <c r="T24" s="74">
        <v>79789.99</v>
      </c>
      <c r="U24" s="74"/>
      <c r="V24" s="75">
        <f t="shared" si="11"/>
        <v>13228005.65</v>
      </c>
      <c r="W24" s="42">
        <v>0</v>
      </c>
      <c r="X24" s="16">
        <f t="shared" si="12"/>
        <v>13228005.65</v>
      </c>
      <c r="Y24" s="76">
        <v>0</v>
      </c>
      <c r="Z24" s="76">
        <v>0</v>
      </c>
      <c r="AA24" s="43">
        <v>395172.23</v>
      </c>
      <c r="AB24" s="41">
        <v>0</v>
      </c>
      <c r="AC24" s="41">
        <v>48937633</v>
      </c>
      <c r="AD24" s="41">
        <v>0</v>
      </c>
      <c r="AE24" s="41">
        <v>21873658.96</v>
      </c>
      <c r="AF24" s="41">
        <v>223493.15</v>
      </c>
      <c r="AG24" s="41">
        <v>874000.88</v>
      </c>
      <c r="AH24" s="15">
        <f t="shared" si="13"/>
        <v>85531963.87</v>
      </c>
      <c r="AI24" s="77">
        <v>48695700</v>
      </c>
      <c r="AJ24" s="77">
        <v>339208600</v>
      </c>
      <c r="AK24" s="77">
        <v>52626000</v>
      </c>
      <c r="AL24" s="77">
        <v>72611400</v>
      </c>
      <c r="AM24" s="77">
        <v>0</v>
      </c>
      <c r="AN24" s="77">
        <v>156453600</v>
      </c>
      <c r="AO24" s="13">
        <f t="shared" si="1"/>
        <v>669595300</v>
      </c>
      <c r="AP24" s="78">
        <v>250000</v>
      </c>
      <c r="AQ24" s="78">
        <v>10869877.03</v>
      </c>
      <c r="AR24" s="78">
        <v>919769</v>
      </c>
      <c r="AS24" s="61">
        <f t="shared" si="2"/>
        <v>12039646.03</v>
      </c>
      <c r="AT24" s="77">
        <v>2250</v>
      </c>
      <c r="AU24" s="77">
        <v>36250</v>
      </c>
      <c r="AV24" s="77">
        <v>0</v>
      </c>
      <c r="AW24" s="77">
        <v>0</v>
      </c>
      <c r="AX24" s="77">
        <v>0</v>
      </c>
      <c r="AY24" s="77">
        <v>0</v>
      </c>
      <c r="AZ24" s="77">
        <v>0</v>
      </c>
      <c r="BA24" s="77">
        <v>0</v>
      </c>
      <c r="BB24" s="77"/>
      <c r="BC24" s="77"/>
      <c r="BD24" s="77"/>
      <c r="BE24" s="77">
        <v>0</v>
      </c>
      <c r="BF24" s="77">
        <v>0</v>
      </c>
      <c r="BG24" s="77">
        <v>0</v>
      </c>
      <c r="BH24" s="77">
        <v>0</v>
      </c>
      <c r="BI24" s="77">
        <v>0</v>
      </c>
      <c r="BJ24" s="77">
        <v>0</v>
      </c>
      <c r="BK24" s="77">
        <v>0</v>
      </c>
      <c r="BL24" s="79">
        <f t="shared" si="14"/>
        <v>0</v>
      </c>
      <c r="BM24" s="77"/>
      <c r="BN24" s="77">
        <v>0</v>
      </c>
      <c r="BO24" s="77">
        <v>0</v>
      </c>
      <c r="BP24" s="30"/>
      <c r="BQ24" s="42"/>
      <c r="BR24" s="42"/>
      <c r="BS24" s="32">
        <f t="shared" si="24"/>
        <v>0.592</v>
      </c>
      <c r="BT24" s="32">
        <f t="shared" si="15"/>
        <v>0</v>
      </c>
      <c r="BU24" s="32">
        <f t="shared" si="16"/>
        <v>0</v>
      </c>
      <c r="BV24" s="32">
        <f t="shared" si="17"/>
        <v>0.018</v>
      </c>
      <c r="BW24" s="32">
        <f t="shared" si="18"/>
        <v>0</v>
      </c>
      <c r="BX24" s="32">
        <f t="shared" si="19"/>
        <v>2.19</v>
      </c>
      <c r="BY24" s="32">
        <f t="shared" si="20"/>
        <v>0</v>
      </c>
      <c r="BZ24" s="32">
        <f t="shared" si="21"/>
        <v>0.979</v>
      </c>
      <c r="CA24" s="32">
        <f t="shared" si="22"/>
        <v>0.01</v>
      </c>
      <c r="CB24" s="32">
        <f t="shared" si="23"/>
        <v>0.039</v>
      </c>
      <c r="CC24" s="32">
        <f t="shared" si="3"/>
        <v>3.828</v>
      </c>
      <c r="CD24" s="113">
        <f t="shared" si="4"/>
        <v>85.28</v>
      </c>
      <c r="CE24" s="32">
        <f t="shared" si="25"/>
        <v>3.2583634640112735</v>
      </c>
      <c r="CF24" s="80"/>
      <c r="CG24" s="77"/>
      <c r="CH24" s="77"/>
      <c r="CI24" s="77"/>
      <c r="CJ24" s="56"/>
      <c r="CK24" s="44"/>
      <c r="CL24" s="44"/>
      <c r="CM24" s="58"/>
      <c r="CN24" s="103">
        <v>0</v>
      </c>
      <c r="CO24" s="102"/>
    </row>
    <row r="25" spans="1:93" s="5" customFormat="1" ht="17.25" customHeight="1">
      <c r="A25" s="59" t="s">
        <v>62</v>
      </c>
      <c r="B25" s="60" t="s">
        <v>63</v>
      </c>
      <c r="C25" s="34">
        <v>999251200</v>
      </c>
      <c r="D25" s="34">
        <v>1017134700</v>
      </c>
      <c r="E25" s="8">
        <f t="shared" si="6"/>
        <v>2016385900</v>
      </c>
      <c r="F25" s="38">
        <v>0</v>
      </c>
      <c r="G25" s="51">
        <f t="shared" si="7"/>
        <v>2016385900</v>
      </c>
      <c r="H25" s="35">
        <v>1366500</v>
      </c>
      <c r="I25" s="8">
        <f t="shared" si="8"/>
        <v>2017752400</v>
      </c>
      <c r="J25" s="57">
        <f t="shared" si="9"/>
        <v>3.0629999999999997</v>
      </c>
      <c r="K25" s="112">
        <v>87.22</v>
      </c>
      <c r="L25" s="40"/>
      <c r="M25" s="35"/>
      <c r="N25" s="72"/>
      <c r="O25" s="73">
        <v>301898556</v>
      </c>
      <c r="P25" s="8">
        <f t="shared" si="10"/>
        <v>2319650956</v>
      </c>
      <c r="Q25" s="14">
        <f t="shared" si="0"/>
        <v>11759797.59</v>
      </c>
      <c r="R25" s="64"/>
      <c r="S25" s="64"/>
      <c r="T25" s="74">
        <v>5880.14</v>
      </c>
      <c r="U25" s="74"/>
      <c r="V25" s="75">
        <f t="shared" si="11"/>
        <v>11753917.45</v>
      </c>
      <c r="W25" s="42">
        <v>0</v>
      </c>
      <c r="X25" s="16">
        <f t="shared" si="12"/>
        <v>11753917.45</v>
      </c>
      <c r="Y25" s="76">
        <v>0</v>
      </c>
      <c r="Z25" s="76">
        <v>0</v>
      </c>
      <c r="AA25" s="43">
        <v>351192.01</v>
      </c>
      <c r="AB25" s="41">
        <v>33837415</v>
      </c>
      <c r="AC25" s="41">
        <v>0</v>
      </c>
      <c r="AD25" s="41">
        <v>0</v>
      </c>
      <c r="AE25" s="41">
        <v>15075596.9</v>
      </c>
      <c r="AF25" s="41">
        <v>0</v>
      </c>
      <c r="AG25" s="41">
        <v>767173.1</v>
      </c>
      <c r="AH25" s="15">
        <f t="shared" si="13"/>
        <v>61785294.46</v>
      </c>
      <c r="AI25" s="77">
        <v>74462800</v>
      </c>
      <c r="AJ25" s="77">
        <v>4390700</v>
      </c>
      <c r="AK25" s="77">
        <v>98300000</v>
      </c>
      <c r="AL25" s="77">
        <v>33917700</v>
      </c>
      <c r="AM25" s="77">
        <v>0</v>
      </c>
      <c r="AN25" s="77">
        <v>51892200</v>
      </c>
      <c r="AO25" s="13">
        <f t="shared" si="1"/>
        <v>262963400</v>
      </c>
      <c r="AP25" s="78">
        <v>2822500</v>
      </c>
      <c r="AQ25" s="78">
        <v>4072689.06</v>
      </c>
      <c r="AR25" s="78">
        <v>540000</v>
      </c>
      <c r="AS25" s="61">
        <f t="shared" si="2"/>
        <v>7435189.0600000005</v>
      </c>
      <c r="AT25" s="77">
        <v>8000</v>
      </c>
      <c r="AU25" s="77">
        <v>79000</v>
      </c>
      <c r="AV25" s="77">
        <v>0</v>
      </c>
      <c r="AW25" s="77">
        <v>0</v>
      </c>
      <c r="AX25" s="77">
        <v>0</v>
      </c>
      <c r="AY25" s="77">
        <v>0</v>
      </c>
      <c r="AZ25" s="77">
        <v>0</v>
      </c>
      <c r="BA25" s="77">
        <v>0</v>
      </c>
      <c r="BB25" s="77"/>
      <c r="BC25" s="77"/>
      <c r="BD25" s="77"/>
      <c r="BE25" s="77">
        <v>0</v>
      </c>
      <c r="BF25" s="77">
        <v>0</v>
      </c>
      <c r="BG25" s="77">
        <v>0</v>
      </c>
      <c r="BH25" s="77">
        <v>0</v>
      </c>
      <c r="BI25" s="77">
        <v>0</v>
      </c>
      <c r="BJ25" s="77">
        <v>0</v>
      </c>
      <c r="BK25" s="77">
        <v>0</v>
      </c>
      <c r="BL25" s="79">
        <f t="shared" si="14"/>
        <v>0</v>
      </c>
      <c r="BM25" s="77"/>
      <c r="BN25" s="77">
        <v>0</v>
      </c>
      <c r="BO25" s="77">
        <v>0</v>
      </c>
      <c r="BP25" s="30"/>
      <c r="BQ25" s="42"/>
      <c r="BR25" s="42"/>
      <c r="BS25" s="32">
        <f t="shared" si="24"/>
        <v>0.583</v>
      </c>
      <c r="BT25" s="32">
        <f t="shared" si="15"/>
        <v>0</v>
      </c>
      <c r="BU25" s="32">
        <f t="shared" si="16"/>
        <v>0</v>
      </c>
      <c r="BV25" s="32">
        <f>ROUNDUP(AA25/I25*100,3)</f>
        <v>0.018000000000000002</v>
      </c>
      <c r="BW25" s="32">
        <f t="shared" si="18"/>
        <v>1.677</v>
      </c>
      <c r="BX25" s="32">
        <f t="shared" si="19"/>
        <v>0</v>
      </c>
      <c r="BY25" s="32">
        <f t="shared" si="20"/>
        <v>0</v>
      </c>
      <c r="BZ25" s="32">
        <f t="shared" si="21"/>
        <v>0.747</v>
      </c>
      <c r="CA25" s="32">
        <f t="shared" si="22"/>
        <v>0</v>
      </c>
      <c r="CB25" s="32">
        <f t="shared" si="23"/>
        <v>0.038</v>
      </c>
      <c r="CC25" s="32">
        <f t="shared" si="3"/>
        <v>3.0629999999999997</v>
      </c>
      <c r="CD25" s="113">
        <f t="shared" si="4"/>
        <v>87.22</v>
      </c>
      <c r="CE25" s="32">
        <f t="shared" si="25"/>
        <v>2.6635599765639912</v>
      </c>
      <c r="CF25" s="80"/>
      <c r="CG25" s="77"/>
      <c r="CH25" s="77"/>
      <c r="CI25" s="77"/>
      <c r="CJ25" s="56"/>
      <c r="CK25" s="44"/>
      <c r="CL25" s="44"/>
      <c r="CM25" s="58"/>
      <c r="CN25" s="103">
        <v>0</v>
      </c>
      <c r="CO25" s="102"/>
    </row>
    <row r="26" spans="1:93" s="5" customFormat="1" ht="17.25" customHeight="1">
      <c r="A26" s="59" t="s">
        <v>64</v>
      </c>
      <c r="B26" s="60" t="s">
        <v>65</v>
      </c>
      <c r="C26" s="34">
        <v>1095943200</v>
      </c>
      <c r="D26" s="34">
        <v>1146623900</v>
      </c>
      <c r="E26" s="8">
        <f t="shared" si="6"/>
        <v>2242567100</v>
      </c>
      <c r="F26" s="38">
        <v>0</v>
      </c>
      <c r="G26" s="51">
        <f t="shared" si="7"/>
        <v>2242567100</v>
      </c>
      <c r="H26" s="35">
        <v>1425500</v>
      </c>
      <c r="I26" s="8">
        <f t="shared" si="8"/>
        <v>2243992600</v>
      </c>
      <c r="J26" s="57">
        <f t="shared" si="9"/>
        <v>2.363</v>
      </c>
      <c r="K26" s="112">
        <v>97.84</v>
      </c>
      <c r="L26" s="40"/>
      <c r="M26" s="35"/>
      <c r="N26" s="72"/>
      <c r="O26" s="73">
        <v>59588822</v>
      </c>
      <c r="P26" s="8">
        <f t="shared" si="10"/>
        <v>2303581422</v>
      </c>
      <c r="Q26" s="14">
        <f t="shared" si="0"/>
        <v>11678330.82</v>
      </c>
      <c r="R26" s="64"/>
      <c r="S26" s="64"/>
      <c r="T26" s="74">
        <v>44351.2</v>
      </c>
      <c r="U26" s="74"/>
      <c r="V26" s="75">
        <f t="shared" si="11"/>
        <v>11633979.620000001</v>
      </c>
      <c r="W26" s="42">
        <v>0</v>
      </c>
      <c r="X26" s="16">
        <f t="shared" si="12"/>
        <v>11633979.620000001</v>
      </c>
      <c r="Y26" s="76">
        <v>0</v>
      </c>
      <c r="Z26" s="76">
        <v>0</v>
      </c>
      <c r="AA26" s="43">
        <v>347295.53</v>
      </c>
      <c r="AB26" s="41">
        <v>0</v>
      </c>
      <c r="AC26" s="41">
        <v>28204296</v>
      </c>
      <c r="AD26" s="41">
        <v>0</v>
      </c>
      <c r="AE26" s="41">
        <v>12059347</v>
      </c>
      <c r="AF26" s="41">
        <v>0</v>
      </c>
      <c r="AG26" s="41">
        <v>762021</v>
      </c>
      <c r="AH26" s="15">
        <f t="shared" si="13"/>
        <v>53006939.15</v>
      </c>
      <c r="AI26" s="77">
        <v>58335600</v>
      </c>
      <c r="AJ26" s="77">
        <v>15232300</v>
      </c>
      <c r="AK26" s="77">
        <v>53115364</v>
      </c>
      <c r="AL26" s="77">
        <v>5501600</v>
      </c>
      <c r="AM26" s="77">
        <v>0</v>
      </c>
      <c r="AN26" s="77">
        <v>2414700</v>
      </c>
      <c r="AO26" s="13">
        <f t="shared" si="1"/>
        <v>134599564</v>
      </c>
      <c r="AP26" s="78">
        <v>1350000</v>
      </c>
      <c r="AQ26" s="78">
        <v>4626120.85</v>
      </c>
      <c r="AR26" s="78">
        <v>313000</v>
      </c>
      <c r="AS26" s="61">
        <f t="shared" si="2"/>
        <v>6289120.85</v>
      </c>
      <c r="AT26" s="77">
        <v>8750</v>
      </c>
      <c r="AU26" s="77">
        <v>72250</v>
      </c>
      <c r="AV26" s="77">
        <v>0</v>
      </c>
      <c r="AW26" s="77">
        <v>0</v>
      </c>
      <c r="AX26" s="77">
        <v>0</v>
      </c>
      <c r="AY26" s="77">
        <v>0</v>
      </c>
      <c r="AZ26" s="77">
        <v>0</v>
      </c>
      <c r="BA26" s="77">
        <v>0</v>
      </c>
      <c r="BB26" s="77"/>
      <c r="BC26" s="77"/>
      <c r="BD26" s="77"/>
      <c r="BE26" s="77">
        <v>0</v>
      </c>
      <c r="BF26" s="77">
        <v>0</v>
      </c>
      <c r="BG26" s="77">
        <v>0</v>
      </c>
      <c r="BH26" s="77">
        <v>0</v>
      </c>
      <c r="BI26" s="77">
        <v>0</v>
      </c>
      <c r="BJ26" s="77">
        <v>0</v>
      </c>
      <c r="BK26" s="77">
        <v>0</v>
      </c>
      <c r="BL26" s="79">
        <f t="shared" si="14"/>
        <v>0</v>
      </c>
      <c r="BM26" s="77"/>
      <c r="BN26" s="77">
        <v>0</v>
      </c>
      <c r="BO26" s="77">
        <v>0</v>
      </c>
      <c r="BP26" s="30"/>
      <c r="BQ26" s="42"/>
      <c r="BR26" s="42"/>
      <c r="BS26" s="32">
        <f>ROUND(X26/I26*100,3)+0.001</f>
        <v>0.519</v>
      </c>
      <c r="BT26" s="32">
        <f t="shared" si="15"/>
        <v>0</v>
      </c>
      <c r="BU26" s="32">
        <f t="shared" si="16"/>
        <v>0</v>
      </c>
      <c r="BV26" s="32">
        <f>ROUND(AA26/I26*100,3)+0.001</f>
        <v>0.016</v>
      </c>
      <c r="BW26" s="32">
        <f t="shared" si="18"/>
        <v>0</v>
      </c>
      <c r="BX26" s="32">
        <f t="shared" si="19"/>
        <v>1.257</v>
      </c>
      <c r="BY26" s="32">
        <f t="shared" si="20"/>
        <v>0</v>
      </c>
      <c r="BZ26" s="32">
        <f t="shared" si="21"/>
        <v>0.537</v>
      </c>
      <c r="CA26" s="32">
        <f t="shared" si="22"/>
        <v>0</v>
      </c>
      <c r="CB26" s="32">
        <f t="shared" si="23"/>
        <v>0.034</v>
      </c>
      <c r="CC26" s="32">
        <f t="shared" si="3"/>
        <v>2.363</v>
      </c>
      <c r="CD26" s="113">
        <f t="shared" si="4"/>
        <v>97.84</v>
      </c>
      <c r="CE26" s="32">
        <f t="shared" si="25"/>
        <v>2.3010664456556813</v>
      </c>
      <c r="CF26" s="80"/>
      <c r="CG26" s="77"/>
      <c r="CH26" s="77"/>
      <c r="CI26" s="77"/>
      <c r="CJ26" s="56"/>
      <c r="CK26" s="44"/>
      <c r="CL26" s="44"/>
      <c r="CM26" s="58"/>
      <c r="CN26" s="103">
        <v>0</v>
      </c>
      <c r="CO26" s="102"/>
    </row>
    <row r="27" spans="1:93" ht="17.25" customHeight="1">
      <c r="A27" s="59" t="s">
        <v>66</v>
      </c>
      <c r="B27" s="60" t="s">
        <v>67</v>
      </c>
      <c r="C27" s="34">
        <v>2293220200</v>
      </c>
      <c r="D27" s="34">
        <v>3297224100</v>
      </c>
      <c r="E27" s="8">
        <f t="shared" si="6"/>
        <v>5590444300</v>
      </c>
      <c r="F27" s="38">
        <v>0</v>
      </c>
      <c r="G27" s="51">
        <f t="shared" si="7"/>
        <v>5590444300</v>
      </c>
      <c r="H27" s="35">
        <v>9244225</v>
      </c>
      <c r="I27" s="8">
        <f t="shared" si="8"/>
        <v>5599688525</v>
      </c>
      <c r="J27" s="57">
        <f t="shared" si="9"/>
        <v>3.8899999999999997</v>
      </c>
      <c r="K27" s="112">
        <v>93.9</v>
      </c>
      <c r="L27" s="40"/>
      <c r="M27" s="35"/>
      <c r="N27" s="72"/>
      <c r="O27" s="73">
        <v>381667995</v>
      </c>
      <c r="P27" s="8">
        <f t="shared" si="10"/>
        <v>5981356520</v>
      </c>
      <c r="Q27" s="14">
        <f>ROUND(P27*Q$29,2)+0.02</f>
        <v>30323330.27</v>
      </c>
      <c r="R27" s="64"/>
      <c r="S27" s="64"/>
      <c r="T27" s="74">
        <v>113449.98</v>
      </c>
      <c r="U27" s="74"/>
      <c r="V27" s="75">
        <f t="shared" si="11"/>
        <v>30209880.29</v>
      </c>
      <c r="W27" s="42">
        <v>0</v>
      </c>
      <c r="X27" s="16">
        <f t="shared" si="12"/>
        <v>30209880.29</v>
      </c>
      <c r="Y27" s="76">
        <v>0</v>
      </c>
      <c r="Z27" s="76">
        <v>0</v>
      </c>
      <c r="AA27" s="43">
        <v>902331.27</v>
      </c>
      <c r="AB27" s="41">
        <v>132632637</v>
      </c>
      <c r="AC27" s="41">
        <v>0</v>
      </c>
      <c r="AD27" s="41">
        <v>0</v>
      </c>
      <c r="AE27" s="41">
        <v>51933857.13</v>
      </c>
      <c r="AF27" s="41">
        <v>145460.49</v>
      </c>
      <c r="AG27" s="41">
        <v>1988181</v>
      </c>
      <c r="AH27" s="15">
        <f>SUM(X27+Y27+Z27+AA27+AB27+AC27+AD27+AE27+AF27+AG27)+0.002</f>
        <v>217812347.182</v>
      </c>
      <c r="AI27" s="77">
        <v>114210320</v>
      </c>
      <c r="AJ27" s="77">
        <v>51885720</v>
      </c>
      <c r="AK27" s="77">
        <v>210494915</v>
      </c>
      <c r="AL27" s="77">
        <v>153123200</v>
      </c>
      <c r="AM27" s="77">
        <v>10041100</v>
      </c>
      <c r="AN27" s="77">
        <v>49589000</v>
      </c>
      <c r="AO27" s="13">
        <f t="shared" si="1"/>
        <v>589344255</v>
      </c>
      <c r="AP27" s="78">
        <v>2898302.12</v>
      </c>
      <c r="AQ27" s="78">
        <v>19221793.25</v>
      </c>
      <c r="AR27" s="78">
        <v>2551766.64</v>
      </c>
      <c r="AS27" s="61">
        <f t="shared" si="2"/>
        <v>24671862.01</v>
      </c>
      <c r="AT27" s="77">
        <v>20500</v>
      </c>
      <c r="AU27" s="77">
        <v>165000</v>
      </c>
      <c r="AV27" s="77">
        <v>0</v>
      </c>
      <c r="AW27" s="77">
        <v>0</v>
      </c>
      <c r="AX27" s="77">
        <v>0</v>
      </c>
      <c r="AY27" s="77">
        <v>0</v>
      </c>
      <c r="AZ27" s="77">
        <v>0</v>
      </c>
      <c r="BA27" s="77">
        <v>0</v>
      </c>
      <c r="BB27" s="77"/>
      <c r="BC27" s="77"/>
      <c r="BD27" s="77"/>
      <c r="BE27" s="77">
        <v>0</v>
      </c>
      <c r="BF27" s="77">
        <v>0</v>
      </c>
      <c r="BG27" s="77">
        <v>0</v>
      </c>
      <c r="BH27" s="77">
        <v>0</v>
      </c>
      <c r="BI27" s="77">
        <v>0</v>
      </c>
      <c r="BJ27" s="77">
        <v>0</v>
      </c>
      <c r="BK27" s="77">
        <v>0</v>
      </c>
      <c r="BL27" s="79">
        <f t="shared" si="14"/>
        <v>0</v>
      </c>
      <c r="BM27" s="77"/>
      <c r="BN27" s="77">
        <v>0</v>
      </c>
      <c r="BO27" s="77">
        <v>0</v>
      </c>
      <c r="BP27" s="30"/>
      <c r="BQ27" s="42"/>
      <c r="BR27" s="42"/>
      <c r="BS27" s="32">
        <f>ROUND(X27/I27*100,3)+0.001</f>
        <v>0.54</v>
      </c>
      <c r="BT27" s="32">
        <f t="shared" si="15"/>
        <v>0</v>
      </c>
      <c r="BU27" s="32">
        <f t="shared" si="16"/>
        <v>0</v>
      </c>
      <c r="BV27" s="32">
        <f t="shared" si="17"/>
        <v>0.016</v>
      </c>
      <c r="BW27" s="32">
        <f t="shared" si="18"/>
        <v>2.369</v>
      </c>
      <c r="BX27" s="32">
        <f t="shared" si="19"/>
        <v>0</v>
      </c>
      <c r="BY27" s="32">
        <f t="shared" si="20"/>
        <v>0</v>
      </c>
      <c r="BZ27" s="32">
        <f t="shared" si="21"/>
        <v>0.927</v>
      </c>
      <c r="CA27" s="32">
        <f t="shared" si="22"/>
        <v>0.003</v>
      </c>
      <c r="CB27" s="32">
        <f>ROUND(AG27/I27*100,3)-0.001</f>
        <v>0.034999999999999996</v>
      </c>
      <c r="CC27" s="32">
        <f t="shared" si="3"/>
        <v>3.8899999999999997</v>
      </c>
      <c r="CD27" s="113">
        <f t="shared" si="4"/>
        <v>93.9</v>
      </c>
      <c r="CE27" s="32">
        <f t="shared" si="25"/>
        <v>3.6415208900137594</v>
      </c>
      <c r="CF27" s="80"/>
      <c r="CG27" s="77"/>
      <c r="CH27" s="77"/>
      <c r="CI27" s="77"/>
      <c r="CJ27" s="56"/>
      <c r="CK27" s="44"/>
      <c r="CL27" s="44"/>
      <c r="CM27" s="58"/>
      <c r="CN27" s="103">
        <v>0</v>
      </c>
      <c r="CO27" s="102"/>
    </row>
    <row r="28" spans="3:87" ht="17.25" customHeight="1">
      <c r="C28" s="45">
        <f aca="true" t="shared" si="26" ref="C28:I28">SUM(C6:C27)</f>
        <v>31841042523</v>
      </c>
      <c r="D28" s="45">
        <f t="shared" si="26"/>
        <v>43345247432</v>
      </c>
      <c r="E28" s="45">
        <f t="shared" si="26"/>
        <v>75186289955</v>
      </c>
      <c r="F28" s="45">
        <f t="shared" si="26"/>
        <v>76630500</v>
      </c>
      <c r="G28" s="45">
        <f t="shared" si="26"/>
        <v>75109659455</v>
      </c>
      <c r="H28" s="45">
        <f t="shared" si="26"/>
        <v>167151822</v>
      </c>
      <c r="I28" s="33">
        <f t="shared" si="26"/>
        <v>75276811277</v>
      </c>
      <c r="J28" s="45"/>
      <c r="K28" s="45"/>
      <c r="L28" s="45">
        <v>0</v>
      </c>
      <c r="M28" s="45">
        <v>0</v>
      </c>
      <c r="N28" s="45">
        <v>0</v>
      </c>
      <c r="O28" s="45">
        <f>SUM(O6:O27)</f>
        <v>8514521632</v>
      </c>
      <c r="P28" s="45">
        <f>SUM(P6:P27)</f>
        <v>83791332909</v>
      </c>
      <c r="Q28" s="46">
        <f>V28-U28+T28-S28+R28</f>
        <v>424791976.76</v>
      </c>
      <c r="R28" s="47">
        <f>SUM(R6:R27)</f>
        <v>0</v>
      </c>
      <c r="S28" s="47">
        <f>SUM(S6:S27)</f>
        <v>0</v>
      </c>
      <c r="T28" s="47">
        <f>SUM(T6:T27)</f>
        <v>3690968.5000000005</v>
      </c>
      <c r="U28" s="47">
        <f>SUM(U6:U27)</f>
        <v>0</v>
      </c>
      <c r="V28" s="48">
        <v>421101008.26</v>
      </c>
      <c r="W28" s="45">
        <f aca="true" t="shared" si="27" ref="W28:BO28">SUM(W6:W27)</f>
        <v>904096</v>
      </c>
      <c r="X28" s="46">
        <f t="shared" si="27"/>
        <v>420196912.26</v>
      </c>
      <c r="Y28" s="49">
        <f t="shared" si="27"/>
        <v>0</v>
      </c>
      <c r="Z28" s="47">
        <f t="shared" si="27"/>
        <v>0</v>
      </c>
      <c r="AA28" s="47">
        <f t="shared" si="27"/>
        <v>12568702.8</v>
      </c>
      <c r="AB28" s="46">
        <f t="shared" si="27"/>
        <v>891744172</v>
      </c>
      <c r="AC28" s="46">
        <f t="shared" si="27"/>
        <v>192751584</v>
      </c>
      <c r="AD28" s="46">
        <f t="shared" si="27"/>
        <v>14925225.2</v>
      </c>
      <c r="AE28" s="46">
        <f>SUM(AE6:AE27)</f>
        <v>878294234.7399999</v>
      </c>
      <c r="AF28" s="46">
        <f>SUM(AF6:AF27)</f>
        <v>6100886.000000001</v>
      </c>
      <c r="AG28" s="46">
        <f>SUM(AG6:AG27)</f>
        <v>26841433.759999998</v>
      </c>
      <c r="AH28" s="46">
        <f>SUM(AH6:AH27)</f>
        <v>2443423150.762</v>
      </c>
      <c r="AI28" s="45">
        <f t="shared" si="27"/>
        <v>2983093744</v>
      </c>
      <c r="AJ28" s="45">
        <f t="shared" si="27"/>
        <v>1998051546</v>
      </c>
      <c r="AK28" s="45">
        <f t="shared" si="27"/>
        <v>8763932045</v>
      </c>
      <c r="AL28" s="45">
        <f t="shared" si="27"/>
        <v>2965588250</v>
      </c>
      <c r="AM28" s="45">
        <f t="shared" si="27"/>
        <v>200584700</v>
      </c>
      <c r="AN28" s="45">
        <f t="shared" si="27"/>
        <v>2974810887</v>
      </c>
      <c r="AO28" s="45">
        <f t="shared" si="27"/>
        <v>19886061172</v>
      </c>
      <c r="AP28" s="62">
        <f t="shared" si="27"/>
        <v>39212639.62</v>
      </c>
      <c r="AQ28" s="62">
        <f t="shared" si="27"/>
        <v>635783945.28</v>
      </c>
      <c r="AR28" s="62">
        <f t="shared" si="27"/>
        <v>36748529.71</v>
      </c>
      <c r="AS28" s="62">
        <f t="shared" si="27"/>
        <v>711745114.6099999</v>
      </c>
      <c r="AT28" s="45">
        <f t="shared" si="27"/>
        <v>468750</v>
      </c>
      <c r="AU28" s="45">
        <f t="shared" si="27"/>
        <v>1903750</v>
      </c>
      <c r="AV28" s="45">
        <f t="shared" si="27"/>
        <v>248000</v>
      </c>
      <c r="AW28" s="45">
        <f t="shared" si="27"/>
        <v>2217200</v>
      </c>
      <c r="AX28" s="45">
        <f t="shared" si="27"/>
        <v>0</v>
      </c>
      <c r="AY28" s="45">
        <f t="shared" si="27"/>
        <v>0</v>
      </c>
      <c r="AZ28" s="45">
        <f t="shared" si="27"/>
        <v>5394300</v>
      </c>
      <c r="BA28" s="45">
        <f t="shared" si="27"/>
        <v>39401600</v>
      </c>
      <c r="BB28" s="45">
        <f t="shared" si="27"/>
        <v>0</v>
      </c>
      <c r="BC28" s="45">
        <f t="shared" si="27"/>
        <v>0</v>
      </c>
      <c r="BD28" s="45">
        <f t="shared" si="27"/>
        <v>0</v>
      </c>
      <c r="BE28" s="45">
        <f t="shared" si="27"/>
        <v>2087800</v>
      </c>
      <c r="BF28" s="45">
        <f t="shared" si="27"/>
        <v>5527600</v>
      </c>
      <c r="BG28" s="45">
        <f t="shared" si="27"/>
        <v>294900</v>
      </c>
      <c r="BH28" s="45">
        <f t="shared" si="27"/>
        <v>1265500</v>
      </c>
      <c r="BI28" s="45">
        <f t="shared" si="27"/>
        <v>19538300</v>
      </c>
      <c r="BJ28" s="45">
        <f t="shared" si="27"/>
        <v>0</v>
      </c>
      <c r="BK28" s="45">
        <f t="shared" si="27"/>
        <v>655300</v>
      </c>
      <c r="BL28" s="45">
        <f t="shared" si="27"/>
        <v>76630500</v>
      </c>
      <c r="BM28" s="45">
        <f t="shared" si="27"/>
        <v>0</v>
      </c>
      <c r="BN28" s="45">
        <f t="shared" si="27"/>
        <v>3884707</v>
      </c>
      <c r="BO28" s="45">
        <f t="shared" si="27"/>
        <v>0</v>
      </c>
      <c r="BP28" s="52"/>
      <c r="BQ28" s="45">
        <f>SUM(BQ6:BQ27)</f>
        <v>0</v>
      </c>
      <c r="BR28" s="45">
        <f>SUM(BR6:BR27)</f>
        <v>0</v>
      </c>
      <c r="BS28" s="45"/>
      <c r="BT28" s="45"/>
      <c r="BU28" s="45"/>
      <c r="BV28" s="45"/>
      <c r="BW28" s="45"/>
      <c r="BX28" s="45"/>
      <c r="BY28" s="45"/>
      <c r="BZ28" s="45"/>
      <c r="CA28" s="45"/>
      <c r="CB28" s="45"/>
      <c r="CC28" s="45"/>
      <c r="CD28" s="45"/>
      <c r="CE28" s="45">
        <f t="shared" si="25"/>
        <v>2.9160810145073524</v>
      </c>
      <c r="CF28" s="36"/>
      <c r="CG28" s="81">
        <f>SUM(CG6:CG27)</f>
        <v>0</v>
      </c>
      <c r="CH28" s="81">
        <f>SUM(CH6:CH27)</f>
        <v>0</v>
      </c>
      <c r="CI28" s="81">
        <f>SUM(CI6:CI27)</f>
        <v>0</v>
      </c>
    </row>
    <row r="29" spans="3:88" ht="17.25" customHeight="1">
      <c r="C29" s="17"/>
      <c r="D29" s="17"/>
      <c r="E29" s="18"/>
      <c r="F29" s="18"/>
      <c r="G29" s="18"/>
      <c r="H29" s="18"/>
      <c r="I29" s="18"/>
      <c r="J29" s="19"/>
      <c r="K29" s="20"/>
      <c r="L29" s="18"/>
      <c r="M29" s="18"/>
      <c r="N29" s="18"/>
      <c r="O29" s="18"/>
      <c r="P29" s="18"/>
      <c r="Q29" s="31">
        <f>ROUND(Q28/P28,10)</f>
        <v>0.005069641</v>
      </c>
      <c r="R29" s="31"/>
      <c r="S29" s="31"/>
      <c r="T29" s="21"/>
      <c r="U29" s="21"/>
      <c r="V29" s="21">
        <f>SUM(V6:V27)</f>
        <v>421101008.26</v>
      </c>
      <c r="W29" s="21"/>
      <c r="X29" s="21"/>
      <c r="Y29" s="21"/>
      <c r="Z29" s="21"/>
      <c r="AA29" s="21"/>
      <c r="AB29" s="21"/>
      <c r="AC29" s="21"/>
      <c r="AD29" s="21"/>
      <c r="AE29" s="21"/>
      <c r="AF29" s="21"/>
      <c r="AG29" s="21"/>
      <c r="AH29" s="21"/>
      <c r="AI29" s="18"/>
      <c r="AJ29" s="18"/>
      <c r="AK29" s="18"/>
      <c r="AL29" s="18"/>
      <c r="AM29" s="18"/>
      <c r="AN29" s="18"/>
      <c r="AO29" s="18"/>
      <c r="AP29" s="21"/>
      <c r="AQ29" s="21"/>
      <c r="AR29" s="21"/>
      <c r="AS29" s="21"/>
      <c r="AT29" s="21"/>
      <c r="AU29" s="21"/>
      <c r="AV29" s="22"/>
      <c r="AW29" s="22"/>
      <c r="AX29" s="22"/>
      <c r="AY29" s="22"/>
      <c r="AZ29" s="22"/>
      <c r="BA29" s="22"/>
      <c r="BB29" s="22"/>
      <c r="BC29" s="22"/>
      <c r="BD29" s="22"/>
      <c r="BE29" s="22"/>
      <c r="BF29" s="22"/>
      <c r="BG29" s="22"/>
      <c r="BH29" s="22"/>
      <c r="BI29" s="22"/>
      <c r="BJ29" s="22"/>
      <c r="BK29" s="22"/>
      <c r="BL29" s="22"/>
      <c r="BM29" s="21"/>
      <c r="BN29" s="21"/>
      <c r="BO29" s="21"/>
      <c r="BP29" s="53"/>
      <c r="BQ29" s="21"/>
      <c r="BR29" s="23"/>
      <c r="BS29" s="22"/>
      <c r="BT29" s="22"/>
      <c r="BU29" s="22"/>
      <c r="BV29" s="22"/>
      <c r="BW29" s="22"/>
      <c r="BX29" s="22"/>
      <c r="BY29" s="22"/>
      <c r="BZ29" s="22"/>
      <c r="CA29" s="22"/>
      <c r="CB29" s="22"/>
      <c r="CC29" s="22"/>
      <c r="CD29" s="22"/>
      <c r="CE29" s="20"/>
      <c r="CF29" s="6"/>
      <c r="CG29" s="22"/>
      <c r="CH29" s="23"/>
      <c r="CI29" s="23"/>
      <c r="CJ29" s="23"/>
    </row>
    <row r="30" spans="3:88" ht="17.25" customHeight="1">
      <c r="C30" s="24"/>
      <c r="D30" s="24"/>
      <c r="E30" s="25"/>
      <c r="F30" s="25"/>
      <c r="G30" s="25"/>
      <c r="H30" s="25"/>
      <c r="I30" s="25"/>
      <c r="J30" s="26"/>
      <c r="K30" s="27"/>
      <c r="L30" s="25"/>
      <c r="M30" s="25"/>
      <c r="N30" s="25"/>
      <c r="O30" s="25"/>
      <c r="P30" s="25"/>
      <c r="Q30" s="28">
        <f>SUM(Q6:Q27)</f>
        <v>424791976.76</v>
      </c>
      <c r="R30" s="28"/>
      <c r="S30" s="28"/>
      <c r="T30" s="28"/>
      <c r="U30" s="28"/>
      <c r="V30" s="28"/>
      <c r="W30" s="28"/>
      <c r="X30" s="28"/>
      <c r="Y30" s="28"/>
      <c r="Z30" s="28"/>
      <c r="AA30" s="28"/>
      <c r="AB30" s="28"/>
      <c r="AC30" s="28"/>
      <c r="AD30" s="28"/>
      <c r="AE30" s="28"/>
      <c r="AF30" s="28"/>
      <c r="AG30" s="28"/>
      <c r="AH30" s="28"/>
      <c r="AI30" s="28"/>
      <c r="AJ30" s="28"/>
      <c r="AK30" s="25"/>
      <c r="AL30" s="25"/>
      <c r="AM30" s="25"/>
      <c r="AN30" s="25"/>
      <c r="AO30" s="25"/>
      <c r="AP30" s="25"/>
      <c r="AQ30" s="25"/>
      <c r="AR30" s="28"/>
      <c r="AS30" s="28"/>
      <c r="AT30" s="28"/>
      <c r="AU30" s="28"/>
      <c r="AV30" s="28"/>
      <c r="AW30" s="28"/>
      <c r="AX30" s="29"/>
      <c r="AY30" s="29"/>
      <c r="AZ30" s="29"/>
      <c r="BA30" s="29"/>
      <c r="BB30" s="29"/>
      <c r="BC30" s="29"/>
      <c r="BD30" s="29"/>
      <c r="BE30" s="29"/>
      <c r="BF30" s="29"/>
      <c r="BG30" s="29"/>
      <c r="BH30" s="29"/>
      <c r="BI30" s="29"/>
      <c r="BJ30" s="29"/>
      <c r="BK30" s="29"/>
      <c r="BL30" s="29"/>
      <c r="BM30" s="28"/>
      <c r="BN30" s="28"/>
      <c r="BO30" s="28"/>
      <c r="BP30" s="54"/>
      <c r="BQ30" s="28"/>
      <c r="BR30" s="29"/>
      <c r="BS30" s="29"/>
      <c r="BT30" s="29"/>
      <c r="BU30" s="29"/>
      <c r="BV30" s="29"/>
      <c r="BW30" s="29"/>
      <c r="BX30" s="29"/>
      <c r="BY30" s="29"/>
      <c r="BZ30" s="29"/>
      <c r="CA30" s="29"/>
      <c r="CB30" s="29"/>
      <c r="CC30" s="29"/>
      <c r="CD30" s="29"/>
      <c r="CE30" s="27"/>
      <c r="CF30" s="7"/>
      <c r="CG30" s="29"/>
      <c r="CH30" s="29"/>
      <c r="CI30" s="29"/>
      <c r="CJ30" s="29"/>
    </row>
    <row r="31" spans="3:88" ht="17.25" customHeight="1">
      <c r="C31" s="24"/>
      <c r="D31" s="24"/>
      <c r="E31" s="9"/>
      <c r="F31" s="9"/>
      <c r="G31" s="9"/>
      <c r="H31" s="9"/>
      <c r="I31" s="9"/>
      <c r="J31" s="82"/>
      <c r="K31" s="10"/>
      <c r="L31" s="9"/>
      <c r="M31" s="9"/>
      <c r="N31" s="9"/>
      <c r="O31" s="9"/>
      <c r="P31" s="9"/>
      <c r="Q31" s="11">
        <f>Q28-Q30</f>
        <v>0</v>
      </c>
      <c r="R31" s="11"/>
      <c r="S31" s="11"/>
      <c r="T31" s="11"/>
      <c r="U31" s="11"/>
      <c r="V31" s="11"/>
      <c r="W31" s="11"/>
      <c r="X31" s="11"/>
      <c r="Y31" s="11"/>
      <c r="Z31" s="11"/>
      <c r="AA31" s="11"/>
      <c r="AB31" s="11"/>
      <c r="AC31" s="11"/>
      <c r="AD31" s="11"/>
      <c r="AE31" s="11"/>
      <c r="AF31" s="11"/>
      <c r="AG31" s="11"/>
      <c r="AH31" s="11"/>
      <c r="AI31" s="11"/>
      <c r="AJ31" s="11"/>
      <c r="AK31" s="9"/>
      <c r="AL31" s="9"/>
      <c r="AM31" s="9"/>
      <c r="AN31" s="9"/>
      <c r="AO31" s="9"/>
      <c r="AP31" s="9"/>
      <c r="AQ31" s="9"/>
      <c r="AR31" s="11"/>
      <c r="AS31" s="11"/>
      <c r="AT31" s="11"/>
      <c r="AU31" s="11"/>
      <c r="AV31" s="11"/>
      <c r="AW31" s="11"/>
      <c r="AX31" s="12"/>
      <c r="AY31" s="12"/>
      <c r="AZ31" s="12"/>
      <c r="BA31" s="12"/>
      <c r="BB31" s="12"/>
      <c r="BC31" s="12"/>
      <c r="BD31" s="12"/>
      <c r="BE31" s="12"/>
      <c r="BF31" s="12"/>
      <c r="BG31" s="12"/>
      <c r="BH31" s="12"/>
      <c r="BI31" s="12"/>
      <c r="BJ31" s="12"/>
      <c r="BK31" s="12"/>
      <c r="BL31" s="12"/>
      <c r="BM31" s="11"/>
      <c r="BN31" s="11"/>
      <c r="BO31" s="11"/>
      <c r="BP31" s="55"/>
      <c r="BQ31" s="11"/>
      <c r="BR31" s="12"/>
      <c r="BS31" s="12"/>
      <c r="BT31" s="12"/>
      <c r="BU31" s="12"/>
      <c r="BV31" s="12"/>
      <c r="BW31" s="12"/>
      <c r="BX31" s="12"/>
      <c r="BY31" s="12"/>
      <c r="BZ31" s="12"/>
      <c r="CA31" s="12"/>
      <c r="CB31" s="12"/>
      <c r="CC31" s="12"/>
      <c r="CD31" s="12"/>
      <c r="CE31" s="10"/>
      <c r="CF31" s="6"/>
      <c r="CG31" s="12"/>
      <c r="CH31" s="12"/>
      <c r="CI31" s="12"/>
      <c r="CJ31" s="12"/>
    </row>
    <row r="32" spans="3:84" ht="17.25" customHeight="1">
      <c r="C32" s="83"/>
      <c r="D32" s="83"/>
      <c r="E32" s="84"/>
      <c r="F32" s="84"/>
      <c r="G32" s="84"/>
      <c r="H32" s="84"/>
      <c r="I32" s="84"/>
      <c r="J32" s="85"/>
      <c r="K32" s="86"/>
      <c r="L32" s="84"/>
      <c r="M32" s="84"/>
      <c r="N32" s="84"/>
      <c r="O32" s="84"/>
      <c r="P32" s="84"/>
      <c r="Q32" s="87"/>
      <c r="R32" s="87"/>
      <c r="S32" s="87"/>
      <c r="T32" s="87"/>
      <c r="U32" s="87"/>
      <c r="V32" s="87"/>
      <c r="W32" s="87"/>
      <c r="X32" s="87"/>
      <c r="Y32" s="87"/>
      <c r="Z32" s="87"/>
      <c r="AA32" s="87"/>
      <c r="AB32" s="87"/>
      <c r="AC32" s="87"/>
      <c r="AD32" s="87"/>
      <c r="AE32" s="87"/>
      <c r="AF32" s="87"/>
      <c r="AG32" s="87"/>
      <c r="AH32" s="87"/>
      <c r="AI32" s="87"/>
      <c r="AJ32" s="87"/>
      <c r="AK32" s="84"/>
      <c r="AL32" s="84"/>
      <c r="AM32" s="84"/>
      <c r="AN32" s="84"/>
      <c r="AO32" s="84"/>
      <c r="AP32" s="84"/>
      <c r="AQ32" s="84"/>
      <c r="AR32" s="87"/>
      <c r="AS32" s="87"/>
      <c r="AT32" s="87"/>
      <c r="AU32" s="87"/>
      <c r="AV32" s="87"/>
      <c r="AW32" s="87"/>
      <c r="BM32" s="87"/>
      <c r="BN32" s="87"/>
      <c r="BO32" s="87"/>
      <c r="BP32" s="88"/>
      <c r="BQ32" s="87"/>
      <c r="CE32" s="86"/>
      <c r="CF32" s="7"/>
    </row>
  </sheetData>
  <sheetProtection selectLockedCells="1"/>
  <mergeCells count="115">
    <mergeCell ref="AS3:AS5"/>
    <mergeCell ref="AQ3:AQ5"/>
    <mergeCell ref="AE2:AG2"/>
    <mergeCell ref="B4:B5"/>
    <mergeCell ref="AC4:AC5"/>
    <mergeCell ref="AD4:AD5"/>
    <mergeCell ref="AE4:AE5"/>
    <mergeCell ref="Y2:Y5"/>
    <mergeCell ref="N4:N5"/>
    <mergeCell ref="AA2:AA5"/>
    <mergeCell ref="AM3:AM5"/>
    <mergeCell ref="AN3:AN5"/>
    <mergeCell ref="AO3:AO5"/>
    <mergeCell ref="C4:C5"/>
    <mergeCell ref="D4:D5"/>
    <mergeCell ref="AR3:AR5"/>
    <mergeCell ref="AP3:AP5"/>
    <mergeCell ref="O4:O5"/>
    <mergeCell ref="R4:S4"/>
    <mergeCell ref="T4:U4"/>
    <mergeCell ref="AB2:AD2"/>
    <mergeCell ref="L4:L5"/>
    <mergeCell ref="M4:M5"/>
    <mergeCell ref="N2:O2"/>
    <mergeCell ref="AH2:AH5"/>
    <mergeCell ref="R2:U2"/>
    <mergeCell ref="P2:P5"/>
    <mergeCell ref="AF4:AF5"/>
    <mergeCell ref="Z2:Z5"/>
    <mergeCell ref="R3:U3"/>
    <mergeCell ref="AT3:AT5"/>
    <mergeCell ref="BA2:BA5"/>
    <mergeCell ref="BB2:BB5"/>
    <mergeCell ref="BZ2:BZ5"/>
    <mergeCell ref="BK2:BK5"/>
    <mergeCell ref="BL2:BL5"/>
    <mergeCell ref="BV2:BV5"/>
    <mergeCell ref="BW2:BW5"/>
    <mergeCell ref="BC2:BC5"/>
    <mergeCell ref="BD2:BD5"/>
    <mergeCell ref="BE2:BE5"/>
    <mergeCell ref="BF2:BF5"/>
    <mergeCell ref="CO2:CO5"/>
    <mergeCell ref="Q3:Q5"/>
    <mergeCell ref="V3:V5"/>
    <mergeCell ref="W3:W5"/>
    <mergeCell ref="X3:X5"/>
    <mergeCell ref="AB3:AD3"/>
    <mergeCell ref="AE3:AG3"/>
    <mergeCell ref="AI3:AI5"/>
    <mergeCell ref="BG2:BG5"/>
    <mergeCell ref="CM2:CM5"/>
    <mergeCell ref="CN2:CN5"/>
    <mergeCell ref="CE2:CE5"/>
    <mergeCell ref="CG2:CG5"/>
    <mergeCell ref="CH2:CH5"/>
    <mergeCell ref="CI2:CI5"/>
    <mergeCell ref="CK2:CK5"/>
    <mergeCell ref="CL2:CL5"/>
    <mergeCell ref="CG1:CI1"/>
    <mergeCell ref="BM2:BM5"/>
    <mergeCell ref="BN2:BN5"/>
    <mergeCell ref="BO2:BO5"/>
    <mergeCell ref="BS2:BS5"/>
    <mergeCell ref="BT2:BT5"/>
    <mergeCell ref="BU2:BU5"/>
    <mergeCell ref="CD2:CD5"/>
    <mergeCell ref="BQ1:BQ5"/>
    <mergeCell ref="BR1:BR5"/>
    <mergeCell ref="AJ3:AJ5"/>
    <mergeCell ref="AG4:AG5"/>
    <mergeCell ref="AU3:AU5"/>
    <mergeCell ref="BH2:BH5"/>
    <mergeCell ref="BM1:BO1"/>
    <mergeCell ref="AK3:AK5"/>
    <mergeCell ref="AI1:AO1"/>
    <mergeCell ref="AP1:AS1"/>
    <mergeCell ref="AT1:AU1"/>
    <mergeCell ref="AZ2:AZ5"/>
    <mergeCell ref="BX2:BX5"/>
    <mergeCell ref="BY2:BY5"/>
    <mergeCell ref="CA2:CA5"/>
    <mergeCell ref="AW2:AW5"/>
    <mergeCell ref="CC2:CC5"/>
    <mergeCell ref="BI2:BI5"/>
    <mergeCell ref="BJ2:BJ5"/>
    <mergeCell ref="AX2:AX5"/>
    <mergeCell ref="AY2:AY5"/>
    <mergeCell ref="CB2:CB5"/>
    <mergeCell ref="CL1:CO1"/>
    <mergeCell ref="C2:D2"/>
    <mergeCell ref="E2:E5"/>
    <mergeCell ref="F2:F5"/>
    <mergeCell ref="G2:G5"/>
    <mergeCell ref="H2:H5"/>
    <mergeCell ref="I2:I5"/>
    <mergeCell ref="BS1:CE1"/>
    <mergeCell ref="BD1:BL1"/>
    <mergeCell ref="J2:J5"/>
    <mergeCell ref="AV1:BC1"/>
    <mergeCell ref="AI2:AO2"/>
    <mergeCell ref="AP2:AS2"/>
    <mergeCell ref="AT2:AU2"/>
    <mergeCell ref="AV2:AV5"/>
    <mergeCell ref="K2:K5"/>
    <mergeCell ref="AL3:AL5"/>
    <mergeCell ref="AE1:AG1"/>
    <mergeCell ref="L2:M2"/>
    <mergeCell ref="AB4:AB5"/>
    <mergeCell ref="C1:D1"/>
    <mergeCell ref="L1:M1"/>
    <mergeCell ref="N1:O1"/>
    <mergeCell ref="Q1:X1"/>
    <mergeCell ref="Y1:AA1"/>
    <mergeCell ref="AB1:AD1"/>
  </mergeCells>
  <printOptions/>
  <pageMargins left="0.25" right="0.25" top="0.75" bottom="0.75" header="0.5" footer="0.5"/>
  <pageSetup horizontalDpi="300" verticalDpi="300" orientation="landscape" scale="53" r:id="rId1"/>
  <headerFooter alignWithMargins="0">
    <oddHeader>&amp;CEssex County 2016 Abstract of Ratables</oddHeader>
  </headerFooter>
  <colBreaks count="11" manualBreakCount="11">
    <brk id="9" max="27" man="1"/>
    <brk id="16" max="27" man="1"/>
    <brk id="24" max="27" man="1"/>
    <brk id="30" max="27" man="1"/>
    <brk id="34" max="27" man="1"/>
    <brk id="41" max="27" man="1"/>
    <brk id="47" max="27" man="1"/>
    <brk id="55" max="27" man="1"/>
    <brk id="64" max="27" man="1"/>
    <brk id="70" max="27" man="1"/>
    <brk id="83" max="27" man="1"/>
  </colBreaks>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4">
      <selection activeCell="J40" sqref="J40"/>
    </sheetView>
  </sheetViews>
  <sheetFormatPr defaultColWidth="9.140625" defaultRowHeight="12.75"/>
  <cols>
    <col min="4" max="4" width="14.8515625" style="0" customWidth="1"/>
    <col min="5" max="5" width="13.8515625" style="0" customWidth="1"/>
    <col min="6" max="6" width="14.7109375" style="0" customWidth="1"/>
    <col min="8" max="8" width="16.00390625" style="0" bestFit="1" customWidth="1"/>
  </cols>
  <sheetData>
    <row r="1" spans="1:12" ht="18">
      <c r="A1" s="147" t="s">
        <v>163</v>
      </c>
      <c r="B1" s="147"/>
      <c r="C1" s="147"/>
      <c r="D1" s="147"/>
      <c r="E1" s="147"/>
      <c r="F1" s="147"/>
      <c r="G1" s="147"/>
      <c r="H1" s="147"/>
      <c r="I1" s="147"/>
      <c r="J1" s="147"/>
      <c r="K1" s="89"/>
      <c r="L1" s="89"/>
    </row>
    <row r="2" spans="1:10" ht="12.75">
      <c r="A2" s="147"/>
      <c r="B2" s="147"/>
      <c r="C2" s="147"/>
      <c r="D2" s="147"/>
      <c r="E2" s="147"/>
      <c r="F2" s="147"/>
      <c r="G2" s="147"/>
      <c r="H2" s="147"/>
      <c r="I2" s="147"/>
      <c r="J2" s="147"/>
    </row>
    <row r="4" spans="1:12" ht="33.75" customHeight="1">
      <c r="A4" s="148" t="s">
        <v>164</v>
      </c>
      <c r="B4" s="148"/>
      <c r="C4" s="148"/>
      <c r="D4" s="148"/>
      <c r="E4" s="148"/>
      <c r="F4" s="148"/>
      <c r="G4" s="90"/>
      <c r="H4" s="91"/>
      <c r="I4" s="90"/>
      <c r="J4" s="90"/>
      <c r="K4" s="90"/>
      <c r="L4" s="90"/>
    </row>
    <row r="5" spans="1:12" ht="12.75">
      <c r="A5" s="90"/>
      <c r="B5" s="90"/>
      <c r="C5" s="90"/>
      <c r="D5" s="90"/>
      <c r="E5" s="90"/>
      <c r="F5" s="90"/>
      <c r="G5" s="90"/>
      <c r="H5" s="92"/>
      <c r="I5" s="90"/>
      <c r="J5" s="90"/>
      <c r="K5" s="90"/>
      <c r="L5" s="90"/>
    </row>
    <row r="6" spans="1:12" ht="12.75">
      <c r="A6" s="146" t="s">
        <v>158</v>
      </c>
      <c r="B6" s="146"/>
      <c r="C6" s="146"/>
      <c r="D6" s="146"/>
      <c r="E6" s="146"/>
      <c r="F6" s="146"/>
      <c r="G6" s="90"/>
      <c r="H6" s="93">
        <f>'Abstract of Ratables'!Q29*100</f>
        <v>0.5069641</v>
      </c>
      <c r="I6" s="90"/>
      <c r="J6" s="90"/>
      <c r="K6" s="90"/>
      <c r="L6" s="90"/>
    </row>
    <row r="7" spans="1:12" ht="12.75">
      <c r="A7" s="90"/>
      <c r="B7" s="90"/>
      <c r="C7" s="90"/>
      <c r="D7" s="90"/>
      <c r="E7" s="90"/>
      <c r="F7" s="90"/>
      <c r="G7" s="90"/>
      <c r="H7" s="92"/>
      <c r="I7" s="90"/>
      <c r="J7" s="90"/>
      <c r="K7" s="90"/>
      <c r="L7" s="90"/>
    </row>
    <row r="8" spans="1:12" ht="12.75">
      <c r="A8" s="146" t="s">
        <v>165</v>
      </c>
      <c r="B8" s="146"/>
      <c r="C8" s="146"/>
      <c r="D8" s="146"/>
      <c r="E8" s="146"/>
      <c r="F8" s="146"/>
      <c r="G8" s="90"/>
      <c r="H8" s="94">
        <f>'Abstract of Ratables'!V28</f>
        <v>421101008.26</v>
      </c>
      <c r="I8" s="90"/>
      <c r="J8" s="90"/>
      <c r="K8" s="90"/>
      <c r="L8" s="90"/>
    </row>
    <row r="9" spans="1:12" ht="12.75">
      <c r="A9" s="90"/>
      <c r="B9" s="90"/>
      <c r="C9" s="90"/>
      <c r="D9" s="90"/>
      <c r="E9" s="90"/>
      <c r="F9" s="90"/>
      <c r="G9" s="90"/>
      <c r="H9" s="92"/>
      <c r="I9" s="90"/>
      <c r="J9" s="90"/>
      <c r="K9" s="90"/>
      <c r="L9" s="90"/>
    </row>
    <row r="10" spans="1:12" ht="12.75">
      <c r="A10" s="146" t="s">
        <v>166</v>
      </c>
      <c r="B10" s="146"/>
      <c r="C10" s="146"/>
      <c r="D10" s="146"/>
      <c r="E10" s="146"/>
      <c r="F10" s="146"/>
      <c r="G10" s="90"/>
      <c r="H10" s="95">
        <f>'Abstract of Ratables'!T28-'Abstract of Ratables'!U28+'Abstract of Ratables'!R28-'Abstract of Ratables'!S28</f>
        <v>3690968.5000000005</v>
      </c>
      <c r="I10" s="90"/>
      <c r="J10" s="90"/>
      <c r="K10" s="90"/>
      <c r="L10" s="90"/>
    </row>
    <row r="11" spans="1:12" ht="12.75">
      <c r="A11" s="90"/>
      <c r="B11" s="90"/>
      <c r="C11" s="90"/>
      <c r="D11" s="90"/>
      <c r="E11" s="90"/>
      <c r="F11" s="90"/>
      <c r="G11" s="90"/>
      <c r="H11" s="92"/>
      <c r="I11" s="90"/>
      <c r="J11" s="90"/>
      <c r="K11" s="90"/>
      <c r="L11" s="90"/>
    </row>
    <row r="12" spans="1:12" ht="12.75">
      <c r="A12" s="146" t="s">
        <v>167</v>
      </c>
      <c r="B12" s="146"/>
      <c r="C12" s="146"/>
      <c r="D12" s="146"/>
      <c r="E12" s="146"/>
      <c r="F12" s="146"/>
      <c r="G12" s="90"/>
      <c r="H12" s="92"/>
      <c r="I12" s="90"/>
      <c r="J12" s="90"/>
      <c r="K12" s="90"/>
      <c r="L12" s="90"/>
    </row>
    <row r="13" spans="1:12" ht="12.75">
      <c r="A13" s="146" t="s">
        <v>168</v>
      </c>
      <c r="B13" s="146"/>
      <c r="C13" s="146"/>
      <c r="D13" s="146"/>
      <c r="E13" s="146"/>
      <c r="F13" s="146"/>
      <c r="G13" s="90"/>
      <c r="H13" s="92"/>
      <c r="I13" s="90"/>
      <c r="J13" s="90"/>
      <c r="K13" s="90"/>
      <c r="L13" s="90"/>
    </row>
    <row r="14" spans="1:12" ht="12.75">
      <c r="A14" s="90"/>
      <c r="B14" s="90"/>
      <c r="C14" s="90"/>
      <c r="D14" s="90"/>
      <c r="E14" s="90"/>
      <c r="F14" s="90"/>
      <c r="G14" s="90"/>
      <c r="H14" s="92"/>
      <c r="I14" s="90"/>
      <c r="J14" s="90"/>
      <c r="K14" s="90"/>
      <c r="L14" s="90"/>
    </row>
    <row r="15" spans="1:12" ht="12.75">
      <c r="A15" s="146" t="s">
        <v>159</v>
      </c>
      <c r="B15" s="146"/>
      <c r="C15" s="146"/>
      <c r="D15" s="146"/>
      <c r="E15" s="146"/>
      <c r="F15" s="146"/>
      <c r="G15" s="90"/>
      <c r="H15" s="96"/>
      <c r="I15" s="90"/>
      <c r="J15" s="90"/>
      <c r="K15" s="90"/>
      <c r="L15" s="90"/>
    </row>
    <row r="16" spans="1:12" ht="12.75">
      <c r="A16" s="90"/>
      <c r="B16" s="90"/>
      <c r="C16" s="90"/>
      <c r="D16" s="90"/>
      <c r="E16" s="90"/>
      <c r="F16" s="90"/>
      <c r="G16" s="90"/>
      <c r="H16" s="92"/>
      <c r="I16" s="90"/>
      <c r="J16" s="90"/>
      <c r="K16" s="90"/>
      <c r="L16" s="90"/>
    </row>
    <row r="17" spans="1:9" ht="12.75">
      <c r="A17" s="146" t="s">
        <v>169</v>
      </c>
      <c r="B17" s="146"/>
      <c r="C17" s="146"/>
      <c r="D17" s="146"/>
      <c r="E17" s="146"/>
      <c r="F17" s="146"/>
      <c r="G17" s="90"/>
      <c r="H17" s="96"/>
      <c r="I17" s="90"/>
    </row>
    <row r="18" spans="1:9" ht="12.75">
      <c r="A18" s="90"/>
      <c r="B18" s="90"/>
      <c r="C18" s="90"/>
      <c r="D18" s="90"/>
      <c r="E18" s="90"/>
      <c r="F18" s="90"/>
      <c r="G18" s="90"/>
      <c r="H18" s="92"/>
      <c r="I18" s="90"/>
    </row>
    <row r="19" spans="1:9" ht="12.75">
      <c r="A19" s="146" t="s">
        <v>160</v>
      </c>
      <c r="B19" s="146"/>
      <c r="C19" s="146"/>
      <c r="D19" s="146"/>
      <c r="E19" s="146"/>
      <c r="F19" s="146"/>
      <c r="G19" s="90"/>
      <c r="H19" s="96"/>
      <c r="I19" s="90"/>
    </row>
    <row r="20" spans="1:9" ht="12.75">
      <c r="A20" s="90"/>
      <c r="B20" s="90"/>
      <c r="C20" s="90"/>
      <c r="D20" s="90"/>
      <c r="E20" s="90"/>
      <c r="F20" s="90"/>
      <c r="G20" s="90"/>
      <c r="H20" s="92"/>
      <c r="I20" s="90"/>
    </row>
    <row r="21" spans="1:9" ht="12.75">
      <c r="A21" s="146" t="s">
        <v>161</v>
      </c>
      <c r="B21" s="146"/>
      <c r="C21" s="146"/>
      <c r="D21" s="146"/>
      <c r="E21" s="146"/>
      <c r="F21" s="146"/>
      <c r="G21" s="90"/>
      <c r="H21" s="90"/>
      <c r="I21" s="90"/>
    </row>
    <row r="22" spans="8:9" ht="18.75">
      <c r="H22" s="149" t="s">
        <v>170</v>
      </c>
      <c r="I22" s="149"/>
    </row>
    <row r="23" spans="8:9" ht="12.75">
      <c r="H23" s="150" t="s">
        <v>171</v>
      </c>
      <c r="I23" s="150"/>
    </row>
    <row r="24" spans="8:9" ht="12.75">
      <c r="H24" s="97"/>
      <c r="I24" s="97"/>
    </row>
    <row r="25" spans="8:9" ht="18.75">
      <c r="H25" s="149" t="s">
        <v>170</v>
      </c>
      <c r="I25" s="149"/>
    </row>
    <row r="26" spans="8:9" ht="12.75">
      <c r="H26" s="150" t="s">
        <v>171</v>
      </c>
      <c r="I26" s="150"/>
    </row>
    <row r="27" spans="8:9" ht="12.75">
      <c r="H27" s="97"/>
      <c r="I27" s="97"/>
    </row>
    <row r="28" spans="8:9" ht="18.75">
      <c r="H28" s="149" t="s">
        <v>170</v>
      </c>
      <c r="I28" s="149"/>
    </row>
    <row r="29" spans="8:9" ht="12.75">
      <c r="H29" s="150" t="s">
        <v>171</v>
      </c>
      <c r="I29" s="150"/>
    </row>
    <row r="30" spans="8:9" ht="12.75">
      <c r="H30" s="97"/>
      <c r="I30" s="97"/>
    </row>
    <row r="31" spans="8:9" ht="18.75">
      <c r="H31" s="149" t="s">
        <v>170</v>
      </c>
      <c r="I31" s="149"/>
    </row>
    <row r="32" spans="8:9" ht="12.75">
      <c r="H32" s="150" t="s">
        <v>171</v>
      </c>
      <c r="I32" s="150"/>
    </row>
    <row r="33" spans="8:9" ht="12.75">
      <c r="H33" s="97"/>
      <c r="I33" s="97"/>
    </row>
    <row r="34" spans="8:9" ht="18.75">
      <c r="H34" s="151" t="s">
        <v>170</v>
      </c>
      <c r="I34" s="151"/>
    </row>
    <row r="35" spans="8:9" ht="12.75">
      <c r="H35" s="150" t="s">
        <v>171</v>
      </c>
      <c r="I35" s="150"/>
    </row>
    <row r="37" spans="8:9" ht="18.75">
      <c r="H37" s="149" t="s">
        <v>170</v>
      </c>
      <c r="I37" s="149"/>
    </row>
    <row r="38" spans="8:9" ht="12.75">
      <c r="H38" s="150" t="s">
        <v>171</v>
      </c>
      <c r="I38" s="150"/>
    </row>
    <row r="39" spans="1:3" ht="18.75">
      <c r="A39" t="s">
        <v>172</v>
      </c>
      <c r="B39" s="151" t="s">
        <v>170</v>
      </c>
      <c r="C39" s="151"/>
    </row>
    <row r="40" spans="2:9" ht="18.75">
      <c r="B40" s="150" t="s">
        <v>171</v>
      </c>
      <c r="C40" s="150"/>
      <c r="H40" s="149" t="s">
        <v>170</v>
      </c>
      <c r="I40" s="149"/>
    </row>
    <row r="41" spans="2:9" ht="12.75">
      <c r="B41" s="97"/>
      <c r="C41" s="97"/>
      <c r="H41" s="150" t="s">
        <v>171</v>
      </c>
      <c r="I41" s="150"/>
    </row>
    <row r="42" spans="2:9" ht="12.75">
      <c r="B42" s="97"/>
      <c r="C42" s="97"/>
      <c r="H42" s="97"/>
      <c r="I42" s="97"/>
    </row>
    <row r="44" spans="1:12" ht="27" customHeight="1">
      <c r="A44" s="153" t="s">
        <v>173</v>
      </c>
      <c r="B44" s="153"/>
      <c r="C44" s="153"/>
      <c r="D44" s="153"/>
      <c r="E44" s="153"/>
      <c r="F44" s="153"/>
      <c r="G44" s="153"/>
      <c r="H44" s="153"/>
      <c r="I44" s="153"/>
      <c r="J44" s="153"/>
      <c r="K44" s="98"/>
      <c r="L44" s="98"/>
    </row>
    <row r="45" spans="1:7" ht="18.75">
      <c r="A45" s="99"/>
      <c r="E45" s="151" t="s">
        <v>170</v>
      </c>
      <c r="F45" s="151"/>
      <c r="G45" s="151"/>
    </row>
    <row r="46" spans="5:7" ht="12.75">
      <c r="E46" s="150" t="s">
        <v>171</v>
      </c>
      <c r="F46" s="150"/>
      <c r="G46" s="150"/>
    </row>
    <row r="47" spans="5:7" ht="12.75">
      <c r="E47" s="152" t="s">
        <v>174</v>
      </c>
      <c r="F47" s="152"/>
      <c r="G47" s="152"/>
    </row>
  </sheetData>
  <sheetProtection/>
  <mergeCells count="31">
    <mergeCell ref="E47:G47"/>
    <mergeCell ref="H41:I41"/>
    <mergeCell ref="A44:J44"/>
    <mergeCell ref="E45:G45"/>
    <mergeCell ref="E46:G46"/>
    <mergeCell ref="H38:I38"/>
    <mergeCell ref="B39:C39"/>
    <mergeCell ref="B40:C40"/>
    <mergeCell ref="H40:I40"/>
    <mergeCell ref="H32:I32"/>
    <mergeCell ref="H34:I34"/>
    <mergeCell ref="H35:I35"/>
    <mergeCell ref="H37:I37"/>
    <mergeCell ref="H26:I26"/>
    <mergeCell ref="H28:I28"/>
    <mergeCell ref="H29:I29"/>
    <mergeCell ref="H31:I31"/>
    <mergeCell ref="A21:F21"/>
    <mergeCell ref="H22:I22"/>
    <mergeCell ref="H23:I23"/>
    <mergeCell ref="H25:I25"/>
    <mergeCell ref="A13:F13"/>
    <mergeCell ref="A15:F15"/>
    <mergeCell ref="A17:F17"/>
    <mergeCell ref="A19:F19"/>
    <mergeCell ref="A8:F8"/>
    <mergeCell ref="A10:F10"/>
    <mergeCell ref="A12:F12"/>
    <mergeCell ref="A1:J2"/>
    <mergeCell ref="A4:F4"/>
    <mergeCell ref="A6:F6"/>
  </mergeCells>
  <printOptions horizontalCentered="1"/>
  <pageMargins left="0.75" right="0.75" top="0.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Essex Abstract of Ratables</dc:title>
  <dc:subject>2016 Essex Abstract of Ratables</dc:subject>
  <dc:creator>NJ Taxation</dc:creator>
  <cp:keywords>2016, Essex Abstract of Ratables</cp:keywords>
  <dc:description/>
  <cp:lastModifiedBy>Christopher Beitz, </cp:lastModifiedBy>
  <cp:lastPrinted>2011-05-20T19:54:54Z</cp:lastPrinted>
  <dcterms:created xsi:type="dcterms:W3CDTF">1998-11-12T18:24:45Z</dcterms:created>
  <dcterms:modified xsi:type="dcterms:W3CDTF">2017-04-05T18:07:06Z</dcterms:modified>
  <cp:category/>
  <cp:version/>
  <cp:contentType/>
  <cp:contentStatus/>
</cp:coreProperties>
</file>